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ohanb\Documents\Copy of Copy of MyFiles\"/>
    </mc:Choice>
  </mc:AlternateContent>
  <workbookProtection lockRevision="1"/>
  <bookViews>
    <workbookView xWindow="0" yWindow="0" windowWidth="20730" windowHeight="11760" tabRatio="826" activeTab="7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EEM!$A$1:$Q$92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EEM!$A$1:$Q$92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DF61089_79B2_41AA_A0E5_3D263EEF5CE4_.wvu.Cols" localSheetId="10" hidden="1">'1-10'!$B:$B</definedName>
    <definedName name="Z_6DF61089_79B2_41AA_A0E5_3D263EEF5CE4_.wvu.Cols" localSheetId="7" hidden="1">BUDGET!$C:$S</definedName>
    <definedName name="Z_6DF61089_79B2_41AA_A0E5_3D263EEF5CE4_.wvu.Cols" localSheetId="4" hidden="1">EEM!$P:$P</definedName>
    <definedName name="Z_6DF61089_79B2_41AA_A0E5_3D263EEF5CE4_.wvu.Cols" localSheetId="1" hidden="1">income!$P:$P</definedName>
    <definedName name="Z_6DF61089_79B2_41AA_A0E5_3D263EEF5CE4_.wvu.Cols" localSheetId="0" hidden="1">mayor!$P:$P</definedName>
    <definedName name="Z_6DF61089_79B2_41AA_A0E5_3D263EEF5CE4_.wvu.Cols" localSheetId="6" hidden="1">MDC!$J:$J,MDC!$P:$P</definedName>
    <definedName name="Z_6DF61089_79B2_41AA_A0E5_3D263EEF5CE4_.wvu.Cols" localSheetId="2" hidden="1">workshop!$J:$J,workshop!$P:$P</definedName>
    <definedName name="Z_6DF61089_79B2_41AA_A0E5_3D263EEF5CE4_.wvu.FilterData" localSheetId="10" hidden="1">'1-10'!$A$1:$AY$100</definedName>
    <definedName name="Z_6DF61089_79B2_41AA_A0E5_3D263EEF5CE4_.wvu.FilterData" localSheetId="11" hidden="1">'new veh 2012'!$A$1:$J$95</definedName>
    <definedName name="Z_6DF61089_79B2_41AA_A0E5_3D263EEF5CE4_.wvu.FilterData" localSheetId="9" hidden="1">orig!$A$1:$AN$198</definedName>
    <definedName name="Z_6DF61089_79B2_41AA_A0E5_3D263EEF5CE4_.wvu.FilterData" localSheetId="13" hidden="1">stbk!$A$1:$G$199</definedName>
    <definedName name="Z_6DF61089_79B2_41AA_A0E5_3D263EEF5CE4_.wvu.PrintArea" localSheetId="7" hidden="1">BUDGET!$A$1:$B$76</definedName>
    <definedName name="Z_6DF61089_79B2_41AA_A0E5_3D263EEF5CE4_.wvu.PrintArea" localSheetId="5" hidden="1">CEM!$A$1:$Q$145</definedName>
    <definedName name="Z_6DF61089_79B2_41AA_A0E5_3D263EEF5CE4_.wvu.PrintArea" localSheetId="3" hidden="1">'COMMUNITY SERV'!$A$1:$Q$102</definedName>
    <definedName name="Z_6DF61089_79B2_41AA_A0E5_3D263EEF5CE4_.wvu.PrintArea" localSheetId="4" hidden="1">EEM!$A$1:$Q$92</definedName>
    <definedName name="Z_6DF61089_79B2_41AA_A0E5_3D263EEF5CE4_.wvu.PrintArea" localSheetId="1" hidden="1">income!$A$1:$Q$16</definedName>
    <definedName name="Z_6DF61089_79B2_41AA_A0E5_3D263EEF5CE4_.wvu.PrintArea" localSheetId="0" hidden="1">mayor!$A$1:$Q$42</definedName>
    <definedName name="Z_6DF61089_79B2_41AA_A0E5_3D263EEF5CE4_.wvu.PrintArea" localSheetId="6" hidden="1">MDC!$A$1:$Q$90</definedName>
    <definedName name="Z_6DF61089_79B2_41AA_A0E5_3D263EEF5CE4_.wvu.PrintArea" localSheetId="2" hidden="1">workshop!$A$1:$Q$20</definedName>
    <definedName name="Z_6DF61089_79B2_41AA_A0E5_3D263EEF5CE4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DF61089_79B2_41AA_A0E5_3D263EEF5CE4_.wvu.Rows" localSheetId="5" hidden="1">CEM!$140:$140</definedName>
    <definedName name="Z_6DF61089_79B2_41AA_A0E5_3D263EEF5CE4_.wvu.Rows" localSheetId="6" hidden="1">MDC!$67:$73</definedName>
    <definedName name="Z_6DF61089_79B2_41AA_A0E5_3D263EEF5CE4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4" hidden="1">EEM!$P:$P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EEM!$A$1:$Q$92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52511"/>
  <customWorkbookViews>
    <customWorkbookView name="Johan Biewenga - Personal View" guid="{6DF61089-79B2-41AA-A0E5-3D263EEF5CE4}" mergeInterval="0" personalView="1" maximized="1" xWindow="-8" yWindow="-8" windowWidth="1296" windowHeight="744" tabRatio="826" activeSheetId="8"/>
    <customWorkbookView name="Lydia Du Plessis - Personal View" guid="{594C4AB0-8D5F-4373-9663-410F4413FE3A}" mergeInterval="0" personalView="1" maximized="1" xWindow="-8" yWindow="-8" windowWidth="1936" windowHeight="1056" tabRatio="826" activeSheetId="6"/>
    <customWorkbookView name="Andre A. Le Grange - Personal View" guid="{DF69299D-7752-4436-A45D-28F739CEE21B}" mergeInterval="0" personalView="1" maximized="1" xWindow="-8" yWindow="-8" windowWidth="1382" windowHeight="744" tabRatio="826" activeSheetId="8"/>
  </customWorkbookViews>
</workbook>
</file>

<file path=xl/calcChain.xml><?xml version="1.0" encoding="utf-8"?>
<calcChain xmlns="http://schemas.openxmlformats.org/spreadsheetml/2006/main">
  <c r="H62" i="7" l="1"/>
  <c r="H50" i="7"/>
  <c r="H44" i="7"/>
  <c r="H39" i="7"/>
  <c r="H83" i="7"/>
  <c r="H77" i="7"/>
  <c r="H22" i="5"/>
  <c r="H21" i="5"/>
  <c r="H20" i="5"/>
  <c r="H19" i="5"/>
  <c r="H18" i="5"/>
  <c r="H17" i="5"/>
  <c r="H16" i="5"/>
  <c r="H15" i="5"/>
  <c r="H14" i="5"/>
  <c r="H13" i="5"/>
  <c r="T148" i="6"/>
  <c r="T147" i="6"/>
  <c r="S149" i="6"/>
  <c r="T149" i="6" s="1"/>
  <c r="AA74" i="8"/>
  <c r="AA73" i="8"/>
  <c r="AA76" i="8" s="1"/>
  <c r="K83" i="7" l="1"/>
  <c r="K77" i="7"/>
  <c r="K62" i="7"/>
  <c r="K56" i="7"/>
  <c r="K50" i="7"/>
  <c r="K44" i="7"/>
  <c r="K39" i="7"/>
  <c r="K34" i="7"/>
  <c r="K29" i="7"/>
  <c r="K24" i="7"/>
  <c r="K23" i="7"/>
  <c r="K22" i="7"/>
  <c r="K16" i="7"/>
  <c r="K15" i="7"/>
  <c r="K14" i="7"/>
  <c r="K13" i="7"/>
  <c r="K12" i="7"/>
  <c r="K11" i="7"/>
  <c r="K10" i="7"/>
  <c r="K9" i="7"/>
  <c r="K8" i="7"/>
  <c r="K7" i="7"/>
  <c r="G83" i="7"/>
  <c r="G77" i="7"/>
  <c r="G62" i="7"/>
  <c r="H56" i="7"/>
  <c r="G56" i="7"/>
  <c r="G50" i="7"/>
  <c r="G44" i="7"/>
  <c r="G39" i="7"/>
  <c r="H34" i="7"/>
  <c r="G34" i="7"/>
  <c r="H30" i="7"/>
  <c r="G30" i="7"/>
  <c r="H29" i="7"/>
  <c r="G29" i="7"/>
  <c r="G22" i="7"/>
  <c r="H24" i="7"/>
  <c r="G24" i="7"/>
  <c r="H23" i="7"/>
  <c r="G23" i="7"/>
  <c r="H22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H80" i="6"/>
  <c r="H79" i="6"/>
  <c r="G79" i="6"/>
  <c r="H78" i="6"/>
  <c r="G78" i="6"/>
  <c r="H77" i="6"/>
  <c r="G77" i="6"/>
  <c r="G72" i="6"/>
  <c r="H72" i="6"/>
  <c r="H71" i="6"/>
  <c r="G71" i="6"/>
  <c r="H66" i="6"/>
  <c r="G66" i="6"/>
  <c r="H65" i="6"/>
  <c r="G65" i="6"/>
  <c r="H60" i="6"/>
  <c r="G60" i="6"/>
  <c r="H59" i="6"/>
  <c r="G59" i="6"/>
  <c r="H54" i="6"/>
  <c r="G54" i="6"/>
  <c r="H53" i="6"/>
  <c r="G53" i="6"/>
  <c r="G46" i="6"/>
  <c r="H47" i="6"/>
  <c r="G47" i="6"/>
  <c r="H46" i="6"/>
  <c r="H40" i="6"/>
  <c r="G40" i="6"/>
  <c r="H36" i="6"/>
  <c r="G36" i="6"/>
  <c r="H35" i="6"/>
  <c r="G35" i="6"/>
  <c r="G30" i="6"/>
  <c r="H30" i="6"/>
  <c r="H29" i="6"/>
  <c r="G29" i="6"/>
  <c r="H28" i="6"/>
  <c r="G28" i="6"/>
  <c r="H27" i="6"/>
  <c r="G27" i="6"/>
  <c r="H22" i="6"/>
  <c r="G22" i="6"/>
  <c r="G21" i="6"/>
  <c r="G20" i="6"/>
  <c r="H21" i="6"/>
  <c r="H20" i="6"/>
  <c r="G13" i="6"/>
  <c r="H15" i="6"/>
  <c r="G15" i="6"/>
  <c r="H14" i="6"/>
  <c r="G14" i="6"/>
  <c r="H13" i="6"/>
  <c r="H8" i="6"/>
  <c r="H7" i="6"/>
  <c r="G8" i="6"/>
  <c r="G7" i="6"/>
  <c r="G81" i="5"/>
  <c r="K87" i="5"/>
  <c r="K86" i="5"/>
  <c r="K85" i="5"/>
  <c r="K84" i="5"/>
  <c r="K83" i="5"/>
  <c r="K82" i="5"/>
  <c r="K81" i="5"/>
  <c r="K75" i="5"/>
  <c r="K69" i="5"/>
  <c r="K68" i="5"/>
  <c r="K62" i="5"/>
  <c r="K61" i="5"/>
  <c r="K54" i="5"/>
  <c r="K47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2" i="5"/>
  <c r="K21" i="5"/>
  <c r="K20" i="5"/>
  <c r="K19" i="5"/>
  <c r="K18" i="5"/>
  <c r="K17" i="5"/>
  <c r="K16" i="5"/>
  <c r="K15" i="5"/>
  <c r="K14" i="5"/>
  <c r="K13" i="5"/>
  <c r="K7" i="5"/>
  <c r="K7" i="6"/>
  <c r="K127" i="6"/>
  <c r="K116" i="6"/>
  <c r="K119" i="6"/>
  <c r="K115" i="6"/>
  <c r="K110" i="6"/>
  <c r="K109" i="6"/>
  <c r="K108" i="6"/>
  <c r="K96" i="6"/>
  <c r="K95" i="6"/>
  <c r="K94" i="6"/>
  <c r="K93" i="6"/>
  <c r="K92" i="6"/>
  <c r="K91" i="6"/>
  <c r="K90" i="6"/>
  <c r="K89" i="6"/>
  <c r="K88" i="6"/>
  <c r="K87" i="6"/>
  <c r="K86" i="6"/>
  <c r="K80" i="6"/>
  <c r="K79" i="6"/>
  <c r="K78" i="6"/>
  <c r="K77" i="6"/>
  <c r="K72" i="6"/>
  <c r="K71" i="6"/>
  <c r="K60" i="6"/>
  <c r="K59" i="6"/>
  <c r="K54" i="6"/>
  <c r="K53" i="6"/>
  <c r="K47" i="6"/>
  <c r="K46" i="6"/>
  <c r="K40" i="6"/>
  <c r="K35" i="6"/>
  <c r="K30" i="6"/>
  <c r="K29" i="6"/>
  <c r="K28" i="6"/>
  <c r="K27" i="6"/>
  <c r="K22" i="6"/>
  <c r="K21" i="6"/>
  <c r="K20" i="6"/>
  <c r="K120" i="6"/>
  <c r="K118" i="6"/>
  <c r="K15" i="6"/>
  <c r="K14" i="6"/>
  <c r="K13" i="6"/>
  <c r="K8" i="6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H75" i="5"/>
  <c r="G75" i="5"/>
  <c r="H69" i="5"/>
  <c r="G69" i="5"/>
  <c r="H68" i="5"/>
  <c r="G68" i="5"/>
  <c r="H62" i="5"/>
  <c r="G62" i="5"/>
  <c r="H61" i="5"/>
  <c r="G61" i="5"/>
  <c r="H54" i="5"/>
  <c r="G54" i="5"/>
  <c r="H47" i="5"/>
  <c r="G47" i="5"/>
  <c r="G42" i="5"/>
  <c r="H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G22" i="5"/>
  <c r="H7" i="5"/>
  <c r="G7" i="5"/>
  <c r="G14" i="5"/>
  <c r="G21" i="5"/>
  <c r="G20" i="5"/>
  <c r="G19" i="5"/>
  <c r="G18" i="5"/>
  <c r="G17" i="5"/>
  <c r="G16" i="5"/>
  <c r="G15" i="5"/>
  <c r="G13" i="5"/>
  <c r="G96" i="4"/>
  <c r="K96" i="4"/>
  <c r="K91" i="4"/>
  <c r="K90" i="4"/>
  <c r="K89" i="4"/>
  <c r="K83" i="4"/>
  <c r="K82" i="4"/>
  <c r="K81" i="4"/>
  <c r="K80" i="4"/>
  <c r="K79" i="4"/>
  <c r="K78" i="4"/>
  <c r="K72" i="4"/>
  <c r="K71" i="4"/>
  <c r="K70" i="4"/>
  <c r="K69" i="4"/>
  <c r="K68" i="4"/>
  <c r="K67" i="4"/>
  <c r="K66" i="4"/>
  <c r="K57" i="4"/>
  <c r="K47" i="4"/>
  <c r="K46" i="4"/>
  <c r="K45" i="4"/>
  <c r="K44" i="4"/>
  <c r="K38" i="4"/>
  <c r="K37" i="4"/>
  <c r="K36" i="4"/>
  <c r="K35" i="4"/>
  <c r="K34" i="4"/>
  <c r="K33" i="4"/>
  <c r="K27" i="4"/>
  <c r="K21" i="4"/>
  <c r="K20" i="4"/>
  <c r="K13" i="4"/>
  <c r="K14" i="4"/>
  <c r="K7" i="4"/>
  <c r="H96" i="4"/>
  <c r="G91" i="4"/>
  <c r="H91" i="4"/>
  <c r="H90" i="4"/>
  <c r="G90" i="4"/>
  <c r="H89" i="4"/>
  <c r="G89" i="4"/>
  <c r="G83" i="4"/>
  <c r="H83" i="4"/>
  <c r="H82" i="4"/>
  <c r="G82" i="4"/>
  <c r="H81" i="4"/>
  <c r="G81" i="4"/>
  <c r="H80" i="4"/>
  <c r="G80" i="4"/>
  <c r="H79" i="4"/>
  <c r="G79" i="4"/>
  <c r="H78" i="4"/>
  <c r="G78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H27" i="4"/>
  <c r="H21" i="4"/>
  <c r="G21" i="4"/>
  <c r="H20" i="4"/>
  <c r="G20" i="4"/>
  <c r="H14" i="4"/>
  <c r="G14" i="4"/>
  <c r="H13" i="4"/>
  <c r="G13" i="4"/>
  <c r="H7" i="4"/>
  <c r="G7" i="4"/>
  <c r="G8" i="3"/>
  <c r="H15" i="3"/>
  <c r="G15" i="3"/>
  <c r="H10" i="3"/>
  <c r="G10" i="3"/>
  <c r="H9" i="3"/>
  <c r="G9" i="3"/>
  <c r="H8" i="3"/>
  <c r="H15" i="1"/>
  <c r="K15" i="3"/>
  <c r="K10" i="3"/>
  <c r="K9" i="3"/>
  <c r="K8" i="3"/>
  <c r="K9" i="2"/>
  <c r="H9" i="2"/>
  <c r="G9" i="2"/>
  <c r="H34" i="1"/>
  <c r="G34" i="1"/>
  <c r="H22" i="1"/>
  <c r="K34" i="1"/>
  <c r="K28" i="1"/>
  <c r="K22" i="1"/>
  <c r="G22" i="1"/>
  <c r="H1" i="1"/>
  <c r="G1" i="1"/>
  <c r="H16" i="1"/>
  <c r="G16" i="1"/>
  <c r="K16" i="1"/>
  <c r="K15" i="1"/>
  <c r="K9" i="1"/>
  <c r="K8" i="1"/>
  <c r="G15" i="1" l="1"/>
  <c r="G8" i="1"/>
  <c r="G9" i="1"/>
  <c r="H9" i="1"/>
  <c r="H8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I34" i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56" i="5" l="1"/>
  <c r="L49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77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1" i="5"/>
  <c r="L64" i="5"/>
  <c r="L43" i="5"/>
  <c r="L24" i="5"/>
  <c r="L92" i="4"/>
  <c r="L16" i="4"/>
  <c r="L85" i="4"/>
  <c r="L23" i="4"/>
  <c r="L93" i="7" l="1"/>
  <c r="L143" i="6" s="1"/>
  <c r="L105" i="4"/>
  <c r="L139" i="6" s="1"/>
  <c r="L100" i="4"/>
  <c r="L95" i="5"/>
  <c r="L141" i="6" s="1"/>
  <c r="L92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75" i="5"/>
  <c r="E68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75" i="5"/>
  <c r="A75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A35" i="6"/>
  <c r="B47" i="6"/>
  <c r="B46" i="6"/>
  <c r="A47" i="6"/>
  <c r="A46" i="6"/>
  <c r="B35" i="6"/>
  <c r="B40" i="6"/>
  <c r="A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A29" i="6"/>
  <c r="A30" i="6"/>
  <c r="A28" i="6"/>
  <c r="A27" i="6"/>
  <c r="B22" i="6"/>
  <c r="B21" i="6"/>
  <c r="B20" i="6"/>
  <c r="A22" i="6"/>
  <c r="A21" i="6"/>
  <c r="A20" i="6"/>
  <c r="A14" i="6"/>
  <c r="B14" i="6"/>
  <c r="B15" i="6"/>
  <c r="B13" i="6"/>
  <c r="A13" i="6"/>
  <c r="A15" i="6"/>
  <c r="B8" i="6"/>
  <c r="B7" i="6"/>
  <c r="A8" i="6"/>
  <c r="A7" i="6"/>
  <c r="B69" i="5"/>
  <c r="B68" i="5"/>
  <c r="A69" i="5"/>
  <c r="A68" i="5"/>
  <c r="B62" i="5"/>
  <c r="B61" i="5"/>
  <c r="A62" i="5"/>
  <c r="A61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A78" i="6"/>
  <c r="A79" i="6"/>
  <c r="A80" i="6"/>
  <c r="A77" i="6"/>
  <c r="B72" i="6"/>
  <c r="B71" i="6"/>
  <c r="A72" i="6"/>
  <c r="A71" i="6"/>
  <c r="B66" i="6"/>
  <c r="B65" i="6"/>
  <c r="A66" i="6"/>
  <c r="A65" i="6"/>
  <c r="A60" i="6"/>
  <c r="B60" i="6"/>
  <c r="B59" i="6"/>
  <c r="A59" i="6"/>
  <c r="J48" i="6"/>
  <c r="E47" i="6"/>
  <c r="E46" i="6"/>
  <c r="E21" i="6"/>
  <c r="D16" i="6"/>
  <c r="K16" i="6"/>
  <c r="P92" i="5"/>
  <c r="E69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69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77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77" i="5"/>
  <c r="O96" i="11"/>
  <c r="O94" i="11"/>
  <c r="L45" i="8"/>
  <c r="L49" i="8" s="1"/>
  <c r="L43" i="8"/>
  <c r="K77" i="5"/>
  <c r="J77" i="5"/>
  <c r="I77" i="5"/>
  <c r="G77" i="5"/>
  <c r="F77" i="5"/>
  <c r="D77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75" i="5"/>
  <c r="C64" i="8"/>
  <c r="B9" i="8"/>
  <c r="M8" i="6"/>
  <c r="J151" i="6" l="1"/>
  <c r="D59" i="8"/>
  <c r="M77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1" i="5"/>
  <c r="K71" i="5"/>
  <c r="J71" i="5"/>
  <c r="H71" i="5"/>
  <c r="G71" i="5"/>
  <c r="F71" i="5"/>
  <c r="D71" i="5"/>
  <c r="J45" i="8" s="1"/>
  <c r="O70" i="5"/>
  <c r="E71" i="5"/>
  <c r="J49" i="8" l="1"/>
  <c r="J47" i="8"/>
  <c r="E23" i="4"/>
  <c r="M20" i="4"/>
  <c r="M27" i="4"/>
  <c r="E29" i="4"/>
  <c r="M68" i="5"/>
  <c r="M71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2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2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4" i="5"/>
  <c r="I45" i="8" s="1"/>
  <c r="D43" i="5"/>
  <c r="D24" i="5"/>
  <c r="D74" i="4"/>
  <c r="D59" i="4"/>
  <c r="D61" i="4" s="1"/>
  <c r="F127" i="1"/>
  <c r="F122" i="2"/>
  <c r="F127" i="3"/>
  <c r="F138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1" i="4"/>
  <c r="I70" i="4"/>
  <c r="I69" i="4"/>
  <c r="I68" i="4"/>
  <c r="I67" i="4"/>
  <c r="I66" i="4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3" i="5"/>
  <c r="G43" i="5"/>
  <c r="H43" i="5"/>
  <c r="I43" i="5"/>
  <c r="K43" i="5"/>
  <c r="E47" i="5"/>
  <c r="E49" i="5" s="1"/>
  <c r="D49" i="5"/>
  <c r="F45" i="8" s="1"/>
  <c r="F49" i="5"/>
  <c r="G49" i="5"/>
  <c r="H49" i="5"/>
  <c r="I49" i="5"/>
  <c r="J49" i="5"/>
  <c r="K49" i="5"/>
  <c r="E54" i="5"/>
  <c r="M54" i="5" s="1"/>
  <c r="D56" i="5"/>
  <c r="G45" i="8" s="1"/>
  <c r="F56" i="5"/>
  <c r="G56" i="5"/>
  <c r="H56" i="5"/>
  <c r="I56" i="5"/>
  <c r="J56" i="5"/>
  <c r="K56" i="5"/>
  <c r="E61" i="5"/>
  <c r="E62" i="5"/>
  <c r="F64" i="5"/>
  <c r="G64" i="5"/>
  <c r="H64" i="5"/>
  <c r="I64" i="5"/>
  <c r="J64" i="5"/>
  <c r="K64" i="5"/>
  <c r="M81" i="5"/>
  <c r="M82" i="5"/>
  <c r="M83" i="5"/>
  <c r="M84" i="5"/>
  <c r="M85" i="5"/>
  <c r="M86" i="5"/>
  <c r="M87" i="5"/>
  <c r="F89" i="5"/>
  <c r="G89" i="5"/>
  <c r="H89" i="5"/>
  <c r="I89" i="5"/>
  <c r="J89" i="5"/>
  <c r="K89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2" i="5" l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95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95" i="5"/>
  <c r="F141" i="6" s="1"/>
  <c r="K95" i="5"/>
  <c r="K141" i="6" s="1"/>
  <c r="D95" i="5"/>
  <c r="D141" i="6" s="1"/>
  <c r="H95" i="5"/>
  <c r="H141" i="6" s="1"/>
  <c r="I95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2" i="5"/>
  <c r="G92" i="5"/>
  <c r="E23" i="6"/>
  <c r="K92" i="5"/>
  <c r="E31" i="6"/>
  <c r="M27" i="6"/>
  <c r="E45" i="8"/>
  <c r="E49" i="8" s="1"/>
  <c r="D92" i="5"/>
  <c r="F100" i="4"/>
  <c r="G100" i="4"/>
  <c r="H92" i="5"/>
  <c r="H100" i="4"/>
  <c r="J70" i="8"/>
  <c r="H58" i="7"/>
  <c r="H90" i="7" s="1"/>
  <c r="D66" i="8"/>
  <c r="B66" i="8" s="1"/>
  <c r="E64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47" i="5"/>
  <c r="M49" i="5" s="1"/>
  <c r="M89" i="5"/>
  <c r="J43" i="5"/>
  <c r="J92" i="5" s="1"/>
  <c r="E30" i="7"/>
  <c r="E56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1" i="5"/>
  <c r="H19" i="12"/>
  <c r="H28" i="12"/>
  <c r="M8" i="3"/>
  <c r="M11" i="3" s="1"/>
  <c r="M62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3" i="5"/>
  <c r="E79" i="7"/>
  <c r="M77" i="7"/>
  <c r="E25" i="7"/>
  <c r="M23" i="7"/>
  <c r="M25" i="7" s="1"/>
  <c r="M56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H142" i="6" s="1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J95" i="5"/>
  <c r="J141" i="6" s="1"/>
  <c r="M22" i="3"/>
  <c r="L16" i="2"/>
  <c r="L18" i="2"/>
  <c r="M90" i="7"/>
  <c r="E95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2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3" i="5"/>
  <c r="M22" i="6"/>
  <c r="M23" i="6" s="1"/>
  <c r="M64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95" i="5"/>
  <c r="M130" i="6"/>
  <c r="G145" i="6"/>
  <c r="G151" i="6"/>
  <c r="I145" i="6"/>
  <c r="H151" i="6"/>
  <c r="M41" i="1"/>
  <c r="M11" i="1"/>
  <c r="M51" i="4"/>
  <c r="M92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34" i="1" s="1"/>
  <c r="N36" i="1" l="1"/>
  <c r="O36" i="1" s="1"/>
  <c r="Q36" i="1" s="1"/>
  <c r="O34" i="1"/>
  <c r="N16" i="3"/>
  <c r="O16" i="3" s="1"/>
  <c r="Q16" i="3" s="1"/>
  <c r="N115" i="6"/>
  <c r="N89" i="4"/>
  <c r="N10" i="3"/>
  <c r="O10" i="3" s="1"/>
  <c r="N116" i="6"/>
  <c r="N87" i="6"/>
  <c r="N82" i="5"/>
  <c r="O82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2" i="5"/>
  <c r="O42" i="5" s="1"/>
  <c r="N44" i="4"/>
  <c r="O44" i="4" s="1"/>
  <c r="N109" i="6"/>
  <c r="O109" i="6" s="1"/>
  <c r="N86" i="5"/>
  <c r="O86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4" i="5"/>
  <c r="O54" i="5" s="1"/>
  <c r="N41" i="6"/>
  <c r="O41" i="6" s="1"/>
  <c r="Q41" i="6" s="1"/>
  <c r="N85" i="5"/>
  <c r="O85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89" i="5"/>
  <c r="O89" i="5" s="1"/>
  <c r="N29" i="6"/>
  <c r="O29" i="6" s="1"/>
  <c r="N80" i="4"/>
  <c r="O80" i="4" s="1"/>
  <c r="N87" i="5"/>
  <c r="O87" i="5" s="1"/>
  <c r="N21" i="5"/>
  <c r="O21" i="5" s="1"/>
  <c r="N60" i="6"/>
  <c r="O60" i="6" s="1"/>
  <c r="N70" i="4"/>
  <c r="O70" i="4" s="1"/>
  <c r="N52" i="7"/>
  <c r="O52" i="7" s="1"/>
  <c r="N61" i="5"/>
  <c r="O61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2" i="5"/>
  <c r="O62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3" i="5"/>
  <c r="O83" i="5" s="1"/>
  <c r="N77" i="7"/>
  <c r="O77" i="7" s="1"/>
  <c r="N45" i="4"/>
  <c r="O45" i="4" s="1"/>
  <c r="N88" i="6"/>
  <c r="O88" i="6" s="1"/>
  <c r="N69" i="5"/>
  <c r="O69" i="5" s="1"/>
  <c r="N101" i="6"/>
  <c r="O101" i="6" s="1"/>
  <c r="Q101" i="6" s="1"/>
  <c r="N81" i="5"/>
  <c r="O81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77" i="5"/>
  <c r="O77" i="5" s="1"/>
  <c r="N20" i="6"/>
  <c r="N75" i="5"/>
  <c r="O75" i="5" s="1"/>
  <c r="N49" i="5"/>
  <c r="O49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4" i="5"/>
  <c r="O84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1" i="5"/>
  <c r="O71" i="5" s="1"/>
  <c r="N64" i="5"/>
  <c r="O64" i="5" s="1"/>
  <c r="N22" i="1"/>
  <c r="N15" i="1"/>
  <c r="N43" i="5"/>
  <c r="O43" i="5" s="1"/>
  <c r="N9" i="5"/>
  <c r="N18" i="7"/>
  <c r="N47" i="5"/>
  <c r="O47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68" i="5"/>
  <c r="O68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56" i="5"/>
  <c r="O56" i="5" s="1"/>
  <c r="N7" i="6"/>
  <c r="N28" i="1"/>
  <c r="N7" i="4"/>
  <c r="N53" i="6"/>
  <c r="N40" i="7"/>
  <c r="O40" i="7" s="1"/>
  <c r="N74" i="4"/>
  <c r="Q43" i="5" l="1"/>
  <c r="E44" i="8" s="1"/>
  <c r="E46" i="8" s="1"/>
  <c r="Q56" i="5"/>
  <c r="G44" i="8" s="1"/>
  <c r="G46" i="8" s="1"/>
  <c r="Q64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77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1" i="5"/>
  <c r="J44" i="8" s="1"/>
  <c r="J46" i="8" s="1"/>
  <c r="Q58" i="7"/>
  <c r="J63" i="8" s="1"/>
  <c r="Q49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95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2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95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2" i="5"/>
  <c r="B46" i="8" s="1"/>
  <c r="C33" i="8"/>
  <c r="C35" i="8" s="1"/>
  <c r="O100" i="4"/>
  <c r="B35" i="8" s="1"/>
  <c r="Q130" i="6"/>
  <c r="O23" i="6"/>
  <c r="Q23" i="6" s="1"/>
  <c r="G65" i="8" l="1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<sst xmlns="http://schemas.openxmlformats.org/spreadsheetml/2006/main" count="2998" uniqueCount="1507">
  <si>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</si>
  <si>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</si>
  <si>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</si>
  <si>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</si>
  <si>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</si>
  <si>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</si>
  <si>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</si>
  <si>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</si>
  <si>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</si>
  <si>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</si>
  <si>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</si>
  <si>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</si>
  <si>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</si>
  <si>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</si>
  <si>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</si>
  <si>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</si>
  <si>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</si>
  <si>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</si>
  <si>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</si>
  <si>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</si>
  <si>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</si>
  <si>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</si>
  <si>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</si>
  <si>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</si>
  <si>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</si>
  <si>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</si>
  <si>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</si>
  <si>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</si>
  <si>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</si>
  <si>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</si>
  <si>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</si>
  <si>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</si>
  <si>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</si>
  <si>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</si>
  <si>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</si>
  <si>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580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</si>
  <si>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</si>
  <si>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</si>
  <si>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</si>
  <si>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</si>
  <si>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</si>
  <si>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</si>
  <si>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</si>
  <si>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</si>
  <si>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</si>
  <si>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</si>
  <si>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</si>
  <si>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</si>
  <si>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</si>
  <si>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</si>
  <si>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</si>
  <si>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</si>
  <si>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</si>
  <si>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</si>
  <si>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</si>
  <si>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</si>
  <si>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</si>
  <si>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</si>
  <si>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</si>
  <si>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</si>
  <si>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</si>
  <si>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</si>
  <si>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</si>
  <si>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</si>
  <si>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</si>
  <si>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</si>
  <si>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</si>
  <si>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</si>
  <si>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</si>
  <si>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</si>
  <si>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</si>
  <si>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</si>
  <si>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</si>
  <si>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</si>
  <si>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</si>
  <si>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</si>
  <si>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</si>
  <si>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</si>
  <si>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</si>
  <si>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</si>
  <si>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</si>
  <si>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</si>
  <si>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</si>
  <si>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</si>
  <si>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</si>
  <si>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</si>
  <si>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</si>
  <si>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</si>
  <si>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</si>
  <si>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</si>
  <si>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</si>
  <si>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</si>
  <si>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</si>
  <si>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</si>
  <si>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</si>
  <si>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</si>
  <si>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</si>
  <si>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</si>
  <si>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</si>
  <si>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</si>
  <si>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</si>
  <si>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</si>
  <si>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</si>
  <si>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</si>
  <si>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</si>
  <si>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</si>
  <si>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</si>
  <si>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</si>
  <si>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</si>
  <si>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</si>
  <si>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</si>
  <si>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</si>
  <si>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</si>
  <si>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</si>
  <si>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</si>
  <si>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</si>
  <si>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</si>
  <si>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</si>
  <si>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</si>
  <si>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</si>
  <si>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</si>
  <si>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</si>
  <si>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</si>
  <si>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</si>
  <si>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</si>
  <si>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</si>
  <si>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</si>
  <si>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</si>
  <si>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</si>
  <si>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</si>
  <si>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</si>
  <si>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</si>
  <si>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</si>
  <si>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</si>
  <si>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</si>
  <si>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</si>
  <si>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</si>
  <si>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</si>
  <si>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</si>
  <si>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</si>
  <si>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</si>
  <si>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</si>
  <si>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</si>
  <si>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</si>
  <si>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</si>
  <si>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</si>
  <si>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</si>
  <si>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</si>
  <si>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</si>
  <si>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</si>
  <si>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</si>
  <si>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</si>
  <si>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</si>
  <si>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</si>
  <si>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</si>
  <si>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</si>
  <si>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</si>
  <si>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</si>
  <si>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</si>
  <si>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</si>
  <si>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</si>
  <si>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</si>
  <si>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</si>
  <si>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</si>
  <si>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</si>
  <si>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</si>
  <si>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</si>
  <si>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</si>
  <si>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</si>
  <si>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</si>
  <si>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</si>
  <si>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</si>
  <si>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</si>
  <si>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</si>
  <si>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</si>
  <si>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</si>
  <si>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</si>
  <si>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</si>
  <si>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</si>
  <si>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</si>
  <si>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</si>
  <si>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</si>
  <si>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</si>
  <si>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</si>
  <si>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</si>
  <si>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</si>
  <si>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</si>
  <si>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</si>
  <si>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</si>
  <si>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</si>
  <si>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</si>
  <si>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</si>
  <si>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</si>
  <si>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</si>
  <si>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</si>
  <si>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</si>
  <si>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</si>
  <si>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</si>
  <si>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</si>
  <si>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</si>
  <si>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</si>
  <si>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</si>
  <si>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</si>
  <si>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</si>
  <si>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</si>
  <si>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</si>
  <si>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</si>
  <si>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</si>
  <si>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</si>
  <si>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</si>
  <si>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</si>
  <si>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</si>
  <si>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</si>
  <si>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</si>
  <si>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</si>
  <si>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</si>
  <si>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</si>
  <si>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</si>
  <si>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</si>
  <si>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</si>
  <si>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</si>
  <si>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</si>
  <si>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</si>
  <si>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</si>
  <si>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</si>
  <si>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</si>
  <si>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</si>
  <si>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</si>
  <si>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</si>
  <si>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</si>
  <si>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</si>
  <si>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</si>
  <si>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</si>
  <si>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</si>
  <si>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</si>
  <si>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</si>
  <si>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</si>
  <si>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</si>
  <si>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</si>
  <si>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</si>
  <si>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</si>
  <si>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</si>
  <si>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</si>
  <si>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</si>
  <si>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</si>
  <si>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</si>
  <si>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</si>
  <si>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</si>
  <si>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</si>
  <si>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</si>
  <si>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</si>
  <si>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</si>
  <si>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</si>
  <si>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</si>
  <si>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</si>
  <si>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</si>
  <si>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</si>
  <si>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</si>
  <si>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</si>
  <si>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</si>
  <si>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</si>
  <si>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</si>
  <si>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</si>
  <si>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</si>
  <si>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</si>
  <si>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</si>
  <si>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</si>
  <si>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</si>
  <si>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</si>
  <si>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</si>
  <si>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</si>
  <si>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</si>
  <si>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</si>
  <si>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</si>
  <si>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</si>
  <si>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</si>
  <si>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</si>
  <si>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</si>
  <si>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</si>
  <si>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</si>
  <si>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</si>
  <si>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</si>
  <si>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</si>
  <si>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</si>
  <si>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</si>
  <si>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</si>
  <si>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</si>
  <si>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</si>
  <si>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</si>
  <si>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</si>
  <si>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</si>
  <si>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</si>
  <si>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</si>
  <si>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</si>
  <si>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</si>
  <si>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</si>
  <si>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</si>
  <si>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</si>
  <si>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</si>
  <si>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</si>
  <si>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</si>
  <si>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</si>
  <si>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</si>
  <si>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</si>
  <si>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</si>
  <si>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</si>
  <si>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</si>
  <si>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</si>
  <si>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</si>
  <si>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</si>
  <si>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</si>
  <si>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</si>
  <si>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</si>
  <si>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</si>
  <si>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</si>
  <si>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</si>
  <si>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</si>
  <si>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</si>
  <si>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</si>
  <si>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</si>
  <si>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</si>
  <si>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</si>
  <si>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</si>
  <si>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</si>
  <si>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</si>
  <si>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</si>
  <si>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</si>
  <si>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</si>
  <si>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</si>
  <si>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</si>
  <si>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</si>
  <si>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</si>
  <si>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</si>
  <si>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</si>
  <si>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</si>
  <si>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</si>
  <si>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</si>
  <si>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</si>
  <si>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</si>
  <si>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</si>
  <si>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</si>
  <si>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</si>
  <si>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</si>
  <si>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</si>
  <si>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</si>
  <si>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</si>
  <si>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</si>
  <si>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</si>
  <si>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</si>
  <si>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</si>
  <si>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</si>
  <si>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</si>
  <si>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</si>
  <si>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</si>
  <si>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</si>
  <si>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</si>
  <si>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</si>
  <si>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</si>
  <si>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</si>
  <si>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</si>
  <si>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</si>
  <si>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</si>
  <si>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</si>
  <si>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</si>
  <si>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</si>
  <si>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</si>
  <si>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</si>
  <si>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</si>
  <si>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</si>
  <si>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</si>
  <si>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</si>
  <si>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</si>
  <si>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</si>
  <si>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</si>
  <si>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</si>
  <si>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</si>
  <si>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</si>
  <si>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</si>
  <si>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</si>
  <si>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</si>
  <si>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</si>
  <si>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</si>
  <si>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</si>
  <si>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</si>
  <si>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</si>
  <si>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</si>
  <si>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</si>
  <si>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</si>
  <si>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</si>
  <si>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</si>
  <si>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</si>
  <si>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</si>
  <si>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</si>
  <si>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</si>
  <si>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</si>
  <si>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</si>
  <si>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</si>
  <si>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</si>
  <si>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</si>
  <si>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</si>
  <si>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</si>
  <si>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</si>
  <si>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</si>
  <si>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</si>
  <si>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</si>
  <si>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</si>
  <si>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</si>
  <si>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</si>
  <si>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</si>
  <si>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</si>
  <si>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</si>
  <si>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</si>
  <si>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</si>
  <si>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</si>
  <si>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</si>
  <si>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</si>
  <si>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</si>
  <si>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</si>
  <si>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</si>
  <si>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</si>
  <si>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</si>
  <si>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</si>
  <si>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</si>
  <si>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</si>
  <si>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</si>
  <si>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</si>
  <si>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</si>
  <si>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</si>
  <si>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</si>
  <si>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</si>
  <si>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</si>
  <si>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</si>
  <si>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</si>
  <si>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</si>
  <si>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</si>
  <si>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</si>
  <si>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</si>
  <si>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</si>
  <si>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</si>
  <si>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</si>
  <si>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</si>
  <si>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</si>
  <si>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</si>
  <si>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</si>
  <si>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</si>
  <si>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</si>
  <si>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</si>
  <si>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</si>
  <si>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</si>
  <si>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</si>
  <si>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</si>
  <si>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</si>
  <si>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</si>
  <si>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</si>
  <si>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</si>
  <si>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</si>
  <si>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</si>
  <si>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</si>
  <si>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</si>
  <si>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</si>
  <si>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</si>
  <si>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</si>
  <si>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</si>
  <si>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</si>
  <si>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</si>
  <si>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</si>
  <si>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</si>
  <si>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</si>
  <si>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</si>
  <si>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</si>
  <si>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</si>
  <si>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</si>
  <si>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</si>
  <si>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</si>
  <si>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</si>
  <si>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</si>
  <si>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</si>
  <si>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</si>
  <si>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</si>
  <si>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</si>
  <si>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</si>
  <si>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</si>
  <si>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</si>
  <si>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</si>
  <si>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</si>
  <si>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</si>
  <si>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</si>
  <si>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</si>
  <si>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</si>
  <si>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</si>
  <si>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</si>
  <si>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</si>
  <si>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</si>
  <si>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</si>
  <si>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</si>
  <si>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</si>
  <si>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</si>
  <si>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</si>
  <si>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</si>
  <si>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</si>
  <si>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</si>
  <si>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</si>
  <si>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</si>
  <si>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</si>
  <si>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</si>
  <si>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</si>
  <si>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</si>
  <si>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</si>
  <si>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</si>
  <si>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</si>
  <si>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</si>
  <si>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</si>
  <si>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</si>
  <si>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</si>
  <si>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</si>
  <si>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</si>
  <si>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</si>
  <si>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</si>
  <si>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</si>
  <si>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</si>
  <si>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</si>
  <si>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</si>
  <si>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</si>
  <si>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</si>
  <si>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</si>
  <si>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</si>
  <si>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</si>
  <si>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</si>
  <si>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</si>
  <si>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</si>
  <si>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</si>
  <si>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</si>
  <si>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</si>
  <si>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</si>
  <si>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</si>
  <si>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</si>
  <si>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</si>
  <si>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</si>
  <si>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</si>
  <si>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</si>
  <si>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</si>
  <si>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</si>
  <si>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</si>
  <si>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</si>
  <si>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</si>
  <si>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</si>
  <si>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</si>
  <si>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</si>
  <si>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</si>
  <si>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</si>
  <si>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</si>
  <si>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</si>
  <si>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</si>
  <si>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</si>
  <si>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</si>
  <si>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</si>
  <si>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</si>
  <si>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</si>
  <si>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</si>
  <si>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</si>
  <si>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</si>
  <si>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</si>
  <si>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</si>
  <si>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</si>
  <si>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</si>
  <si>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</si>
  <si>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</si>
  <si>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</si>
  <si>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</si>
  <si>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</si>
  <si>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</si>
  <si>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</si>
  <si>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</si>
  <si>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</si>
  <si>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</si>
  <si>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</si>
  <si>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</si>
  <si>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</si>
  <si>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</si>
  <si>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</si>
  <si>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</si>
  <si>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</si>
  <si>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</si>
  <si>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</si>
  <si>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</si>
  <si>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</si>
  <si>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</si>
  <si>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</si>
  <si>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</si>
  <si>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</si>
  <si>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</si>
  <si>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</si>
  <si>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</si>
  <si>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</si>
  <si>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</si>
  <si>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</si>
  <si>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</si>
  <si>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</si>
  <si>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</si>
  <si>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</si>
  <si>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</si>
  <si>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</si>
  <si>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</si>
  <si>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</si>
  <si>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</si>
  <si>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</si>
  <si>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</si>
  <si>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</si>
  <si>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</si>
  <si>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</si>
  <si>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</si>
  <si>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</si>
  <si>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</si>
  <si>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</si>
  <si>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</si>
  <si>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</si>
  <si>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</si>
  <si>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</si>
  <si>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</si>
  <si>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</si>
  <si>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</si>
  <si>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</si>
  <si>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</si>
  <si>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</si>
  <si>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</si>
  <si>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</si>
  <si>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</si>
  <si>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</si>
  <si>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</si>
  <si>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</si>
  <si>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</si>
  <si>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</si>
  <si>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</si>
  <si>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</si>
  <si>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</si>
  <si>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</si>
  <si>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</si>
  <si>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</si>
  <si>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</si>
  <si>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</si>
  <si>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</si>
  <si>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</si>
  <si>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</si>
  <si>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</si>
  <si>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</si>
  <si>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</si>
  <si>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</si>
  <si>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</si>
  <si>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</si>
  <si>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</si>
  <si>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</si>
  <si>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</si>
  <si>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</si>
  <si>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</si>
  <si>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</si>
  <si>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</si>
  <si>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</si>
  <si>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</si>
  <si>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</si>
  <si>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</si>
  <si>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</si>
  <si>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</si>
  <si>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</si>
  <si>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</si>
  <si>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</si>
  <si>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</si>
  <si>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</si>
  <si>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</si>
  <si>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</si>
  <si>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</si>
  <si>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</si>
  <si>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</si>
  <si>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</si>
  <si>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</si>
  <si>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</si>
  <si>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</si>
  <si>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</si>
  <si>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</si>
  <si>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</si>
  <si>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</si>
  <si>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</si>
  <si>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</si>
  <si>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</si>
  <si>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</si>
  <si>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</si>
  <si>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</si>
  <si>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</si>
  <si>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</si>
  <si>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</si>
  <si>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</si>
  <si>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</si>
  <si>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</si>
  <si>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</si>
  <si>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</si>
  <si>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</si>
  <si>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</si>
  <si>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</si>
  <si>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</si>
  <si>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</si>
  <si>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</si>
  <si>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</si>
  <si>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</si>
  <si>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</si>
  <si>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</si>
  <si>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</si>
  <si>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</si>
  <si>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</si>
  <si>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</si>
  <si>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</si>
  <si>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</si>
  <si>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</si>
  <si>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</si>
  <si>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</si>
  <si>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</si>
  <si>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</si>
  <si>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</si>
  <si>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</si>
  <si>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</si>
  <si>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</si>
  <si>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</si>
  <si>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</si>
  <si>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</si>
  <si>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</si>
  <si>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</si>
  <si>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</si>
  <si>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</si>
  <si>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</si>
  <si>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</si>
  <si>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</si>
  <si>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</si>
  <si>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</si>
  <si>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</si>
  <si>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</si>
  <si>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</si>
  <si>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</si>
  <si>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</si>
  <si>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</si>
  <si>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</si>
  <si>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</si>
  <si>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</si>
  <si>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</si>
  <si>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</si>
  <si>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</si>
  <si>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</si>
  <si>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</si>
  <si>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</si>
  <si>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</si>
  <si>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</si>
  <si>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</si>
  <si>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</si>
  <si>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</si>
  <si>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</si>
  <si>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</si>
  <si>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</si>
  <si>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</si>
  <si>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</si>
  <si>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</si>
  <si>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</si>
  <si>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</si>
  <si>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</si>
  <si>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</si>
  <si>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</si>
  <si>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</si>
  <si>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</si>
  <si>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</si>
  <si>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</si>
  <si>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</si>
  <si>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</si>
  <si>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</si>
  <si>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</si>
  <si>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</si>
  <si>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</si>
  <si>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</si>
  <si>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</si>
  <si>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</si>
  <si>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</si>
  <si>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</si>
  <si>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</si>
  <si>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</si>
  <si>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</si>
  <si>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</si>
  <si>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</si>
  <si>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</si>
  <si>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</si>
  <si>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</si>
  <si>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</si>
  <si>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</si>
  <si>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</si>
  <si>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</si>
  <si>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</si>
  <si>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</si>
  <si>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</si>
  <si>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</si>
  <si>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</si>
  <si>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</si>
  <si>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</si>
  <si>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</si>
  <si>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</si>
  <si>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</si>
  <si>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</si>
  <si>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</si>
  <si>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</si>
  <si>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</si>
  <si>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</si>
  <si>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</si>
  <si>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</si>
  <si>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</si>
  <si>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</si>
  <si>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</si>
  <si>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</si>
  <si>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</si>
  <si>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</si>
  <si>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</si>
  <si>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</si>
  <si>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</si>
  <si>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</si>
  <si>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</si>
  <si>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</si>
  <si>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</si>
  <si>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</si>
  <si>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</si>
  <si>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</si>
  <si>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</si>
  <si>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</si>
  <si>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</si>
  <si>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</si>
  <si>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</si>
  <si>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</si>
  <si>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</si>
  <si>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</si>
  <si>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</si>
  <si>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</si>
  <si>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</si>
  <si>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</si>
  <si>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</si>
  <si>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</si>
  <si>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</si>
  <si>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</si>
  <si>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</si>
  <si>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</si>
  <si>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</si>
  <si>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</si>
  <si>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</si>
  <si>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</si>
  <si>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</si>
  <si>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</si>
  <si>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</si>
  <si>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</si>
  <si>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</si>
  <si>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</si>
  <si>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</si>
  <si>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</si>
  <si>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</si>
  <si>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</si>
  <si>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</si>
  <si>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</si>
  <si>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</si>
  <si>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</si>
  <si>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</si>
  <si>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</si>
  <si>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</si>
  <si>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</si>
  <si>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</si>
  <si>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</si>
  <si>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</si>
  <si>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</si>
  <si>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</si>
  <si>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</si>
  <si>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</si>
  <si>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</si>
  <si>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</si>
  <si>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</si>
  <si>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</si>
  <si>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</si>
  <si>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</si>
  <si>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</si>
  <si>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</si>
  <si>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</si>
  <si>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</si>
  <si>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</si>
  <si>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</si>
  <si>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</si>
  <si>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</si>
  <si>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</si>
  <si>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</si>
  <si>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</si>
  <si>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</si>
  <si>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</si>
  <si>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</si>
  <si>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</si>
  <si>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</si>
  <si>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</si>
  <si>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</si>
  <si>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</si>
  <si>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</si>
  <si>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</si>
  <si>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</si>
  <si>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</si>
  <si>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</si>
  <si>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</si>
  <si>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</si>
  <si>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</si>
  <si>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</si>
  <si>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</si>
  <si>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</si>
  <si>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</si>
  <si>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</si>
  <si>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</si>
  <si>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</si>
  <si>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</si>
  <si>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</si>
  <si>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</si>
  <si>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</si>
  <si>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</si>
  <si>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</si>
  <si>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</si>
  <si>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</si>
  <si>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</si>
  <si>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</si>
  <si>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</si>
  <si>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</si>
  <si>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</si>
  <si>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</si>
  <si>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</si>
  <si>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</si>
  <si>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</si>
  <si>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</si>
  <si>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</si>
  <si>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</si>
  <si>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</si>
  <si>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</si>
  <si>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</si>
  <si>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</si>
  <si>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</si>
  <si>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</si>
  <si>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</si>
  <si>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</si>
  <si>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</si>
  <si>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</si>
  <si>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</si>
  <si>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</si>
  <si>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</si>
  <si>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</si>
  <si>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</si>
  <si>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</si>
  <si>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</si>
  <si>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</si>
  <si>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</si>
  <si>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</si>
  <si>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</si>
  <si>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</si>
  <si>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</si>
  <si>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</si>
  <si>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</si>
  <si>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</si>
  <si>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</si>
  <si>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</si>
  <si>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</si>
  <si>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</si>
  <si>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</si>
  <si>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</si>
  <si>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</si>
  <si>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</si>
  <si>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</si>
  <si>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</si>
  <si>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</si>
  <si>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</si>
  <si>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</si>
  <si>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</si>
  <si>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</si>
  <si>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</si>
  <si>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</si>
  <si>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</si>
  <si>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</si>
  <si>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</si>
  <si>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</si>
  <si>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</si>
  <si>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</si>
  <si>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</si>
  <si>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</si>
  <si>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</si>
  <si>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</si>
  <si>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</si>
  <si>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</si>
  <si>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</si>
  <si>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</si>
  <si>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</si>
  <si>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</si>
  <si>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</si>
  <si>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</si>
  <si>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</si>
  <si>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</si>
  <si>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</si>
  <si>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</si>
  <si>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</si>
  <si>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</si>
  <si>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</si>
  <si>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</si>
  <si>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</si>
  <si>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</si>
  <si>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</si>
  <si>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</si>
  <si>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</si>
  <si>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</si>
  <si>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</si>
  <si>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</si>
  <si>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</si>
  <si>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</si>
  <si>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</si>
  <si>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</si>
  <si>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</si>
  <si>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</si>
  <si>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</si>
  <si>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</si>
  <si>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</si>
  <si>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</si>
  <si>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</si>
  <si>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</si>
  <si>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</si>
  <si>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</si>
  <si>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</si>
  <si>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</si>
  <si>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</si>
  <si>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</si>
  <si>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</si>
  <si>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</si>
  <si>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</si>
  <si>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</si>
  <si>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</si>
  <si>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</si>
  <si>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</si>
  <si>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</si>
  <si>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</si>
  <si>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</si>
  <si>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</si>
  <si>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</si>
  <si>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</si>
  <si>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</si>
  <si>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</si>
  <si>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</si>
  <si>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</si>
  <si>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</si>
  <si>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</si>
  <si>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</si>
  <si>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</si>
  <si>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</si>
  <si>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</si>
  <si>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</si>
  <si>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</si>
  <si>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</si>
  <si>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</si>
  <si>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</si>
  <si>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</si>
  <si>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</si>
  <si>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</si>
  <si>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</si>
  <si>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</si>
  <si>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</si>
  <si>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</si>
  <si>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</si>
  <si>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</si>
  <si>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</si>
  <si>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</si>
  <si>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</si>
  <si>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</si>
  <si>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</si>
  <si>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</si>
  <si>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</si>
  <si>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</si>
  <si>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</si>
  <si>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</si>
  <si>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</si>
  <si>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</si>
  <si>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</si>
  <si>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</si>
  <si>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</si>
  <si>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</si>
  <si>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</si>
  <si>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</si>
  <si>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</si>
  <si>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</si>
  <si>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</si>
  <si>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</si>
  <si>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</si>
  <si>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</si>
  <si>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</si>
  <si>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</si>
  <si>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</si>
  <si>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</si>
  <si>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</si>
  <si>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</si>
  <si>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</si>
  <si>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</si>
  <si>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</si>
  <si>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</si>
  <si>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</si>
  <si>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</si>
  <si>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</si>
  <si>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</si>
  <si>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</si>
  <si>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</si>
  <si>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</si>
  <si>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</si>
  <si>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</si>
  <si>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</si>
  <si>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</si>
  <si>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</si>
  <si>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</si>
  <si>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</si>
  <si>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</si>
  <si>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</si>
  <si>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</si>
  <si>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</si>
  <si>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</si>
  <si>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</si>
  <si>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</si>
  <si>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</si>
  <si>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</si>
  <si>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</si>
  <si>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</si>
  <si>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</si>
  <si>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</si>
  <si>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</si>
  <si>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</si>
  <si>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</si>
  <si>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</si>
  <si>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</si>
  <si>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</si>
  <si>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</si>
  <si>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</si>
  <si>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</si>
  <si>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</si>
  <si>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</si>
  <si>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</si>
  <si>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</si>
  <si>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</si>
  <si>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</si>
  <si>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</si>
  <si>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</si>
  <si>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</si>
  <si>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</si>
  <si>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</si>
  <si>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</si>
  <si>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</si>
  <si>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</si>
  <si>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</si>
  <si>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</si>
  <si>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</si>
  <si>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</si>
  <si>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</si>
  <si>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</si>
  <si>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</si>
  <si>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</si>
  <si>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</si>
  <si>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</si>
  <si>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</si>
  <si>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</si>
  <si>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</si>
  <si>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</si>
  <si>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</si>
  <si>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</si>
  <si>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</si>
  <si>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</si>
  <si>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</si>
  <si>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</si>
  <si>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</si>
  <si>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</si>
  <si>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</si>
  <si>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</si>
  <si>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</si>
  <si>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</si>
  <si>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</si>
  <si>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</si>
  <si>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</si>
  <si>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</si>
  <si>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</si>
  <si>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</si>
  <si>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</si>
  <si>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</si>
  <si>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</si>
  <si>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</si>
  <si>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</si>
  <si>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</si>
  <si>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</si>
  <si>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</si>
  <si>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</si>
  <si>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</si>
  <si>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</si>
  <si>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</si>
  <si>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</si>
  <si>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</si>
  <si>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</si>
  <si>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</si>
  <si>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</si>
  <si>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</si>
  <si>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</si>
  <si>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</si>
  <si>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</si>
  <si>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</si>
  <si>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</si>
  <si>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</si>
  <si>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</si>
  <si>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</si>
  <si>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</si>
  <si>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</si>
  <si>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</si>
  <si>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</si>
  <si>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</si>
  <si>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</si>
  <si>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</si>
  <si>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</si>
  <si>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</si>
  <si>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</si>
  <si>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</si>
  <si>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</si>
  <si>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</si>
  <si>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</si>
  <si>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</si>
  <si>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</si>
  <si>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</si>
  <si>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</si>
  <si>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</si>
  <si>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</si>
  <si>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</si>
  <si>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</si>
  <si>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</si>
  <si>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</si>
  <si>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</si>
  <si>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</si>
  <si>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</si>
  <si>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</si>
  <si>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</si>
  <si>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</si>
  <si>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</si>
  <si>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</si>
  <si>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</si>
  <si>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</si>
  <si>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</si>
  <si>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</si>
  <si>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</si>
  <si>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</si>
  <si>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</si>
  <si>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</si>
  <si>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</si>
  <si>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</si>
  <si>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</si>
  <si>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</si>
  <si>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</si>
  <si>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</si>
  <si>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</si>
  <si>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</si>
  <si>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</si>
  <si>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</si>
  <si>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</si>
  <si>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</si>
  <si>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</si>
  <si>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</si>
  <si>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</si>
  <si>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</si>
  <si>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</si>
  <si>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</si>
  <si>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</si>
  <si>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</si>
  <si>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</si>
  <si>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</si>
  <si>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</si>
  <si>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</si>
  <si>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</si>
  <si>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</si>
  <si>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</si>
  <si>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</si>
  <si>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</si>
  <si>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</si>
  <si>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</si>
  <si>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</si>
  <si>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</si>
  <si>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</si>
  <si>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</si>
  <si>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</si>
  <si>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</si>
  <si>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</si>
  <si>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</si>
  <si>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</si>
  <si>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</si>
  <si>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</si>
  <si>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</si>
  <si>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</si>
  <si>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</si>
  <si>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</si>
  <si>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</si>
  <si>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</si>
  <si>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</si>
  <si>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</si>
  <si>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</si>
  <si>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</si>
  <si>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</si>
  <si>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</si>
  <si>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</si>
  <si>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</si>
  <si>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</si>
  <si>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</si>
  <si>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</si>
  <si>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</si>
  <si>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</si>
  <si>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</si>
  <si>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</si>
  <si>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</si>
  <si>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</si>
  <si>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</si>
  <si>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</si>
  <si>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</si>
  <si>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</si>
  <si>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</si>
  <si>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</si>
  <si>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</si>
  <si>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</si>
  <si>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</si>
  <si>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</si>
  <si>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</si>
  <si>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</si>
  <si>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</si>
  <si>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</si>
  <si>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</si>
  <si>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</si>
  <si>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</si>
  <si>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</si>
  <si>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</si>
  <si>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</si>
  <si>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</si>
  <si>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</si>
  <si>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</si>
  <si>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</si>
  <si>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</si>
  <si>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</si>
  <si>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</si>
  <si>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</si>
  <si>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</si>
  <si>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</si>
  <si>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</si>
  <si>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</si>
  <si>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</si>
  <si>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</si>
  <si>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</si>
  <si>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</si>
  <si>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</si>
  <si>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</si>
  <si>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</si>
  <si>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</si>
  <si>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</si>
  <si>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</si>
  <si>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</si>
  <si>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</si>
  <si>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</si>
  <si>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</si>
  <si>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</si>
  <si>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</si>
  <si>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</si>
  <si>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</si>
  <si>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</si>
  <si>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</si>
  <si>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</si>
  <si>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</si>
  <si>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</si>
  <si>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</si>
  <si>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</si>
  <si>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</si>
  <si>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</si>
  <si>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</si>
  <si>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</si>
  <si>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</si>
  <si>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</si>
  <si>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</si>
  <si>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</si>
  <si>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</si>
  <si>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</si>
  <si>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</si>
  <si>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</si>
  <si>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</si>
  <si>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</si>
  <si>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</si>
  <si>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</si>
  <si>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</si>
  <si>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</si>
  <si>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</si>
  <si>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</si>
  <si>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</si>
  <si>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</si>
  <si>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</si>
  <si>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</si>
  <si>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</si>
  <si>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</si>
  <si>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</si>
  <si>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</si>
  <si>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</si>
  <si>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</si>
  <si>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</si>
  <si>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</si>
  <si>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</si>
  <si>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</si>
  <si>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</si>
  <si>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</si>
  <si>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</si>
  <si>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</si>
  <si>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</si>
  <si>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</si>
  <si>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</si>
  <si>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</si>
  <si>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</si>
  <si>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</si>
  <si>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</si>
  <si>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</si>
  <si>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</si>
  <si>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</si>
  <si>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</si>
  <si>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</si>
  <si>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</si>
  <si>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</si>
  <si>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</si>
  <si>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</si>
  <si>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</si>
  <si>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</si>
  <si>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</si>
  <si>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</si>
  <si>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</si>
  <si>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</si>
  <si>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</si>
  <si>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</si>
  <si>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</si>
  <si>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</si>
  <si>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</si>
  <si>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</si>
  <si>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</si>
  <si>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</si>
  <si>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</si>
  <si>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</si>
  <si>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</si>
  <si>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</si>
  <si>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</si>
  <si>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</si>
  <si>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</si>
  <si>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</si>
  <si>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</si>
  <si>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</si>
  <si>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</si>
  <si>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</si>
  <si>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</si>
  <si>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</si>
  <si>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</si>
  <si>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</si>
  <si>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</si>
  <si>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</si>
  <si>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</si>
  <si>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</si>
  <si>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</si>
  <si>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</si>
  <si>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</si>
  <si>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</si>
  <si>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</si>
  <si>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</si>
  <si>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</si>
  <si>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</si>
  <si>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</si>
  <si>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</si>
  <si>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</si>
  <si>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</si>
  <si>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</si>
  <si>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</si>
  <si>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</si>
  <si>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</si>
  <si>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</si>
  <si>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</si>
  <si>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</si>
  <si>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</si>
  <si>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</si>
  <si>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</si>
  <si>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</si>
  <si>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</si>
  <si>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</si>
  <si>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</si>
  <si>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</si>
  <si>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</si>
  <si>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</si>
  <si>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</si>
  <si>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</si>
  <si>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</si>
  <si>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</si>
  <si>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</si>
  <si>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</si>
  <si>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</si>
  <si>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</si>
  <si>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</si>
  <si>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</si>
  <si>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</si>
  <si>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</si>
  <si>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</si>
  <si>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</si>
  <si>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</si>
  <si>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</si>
  <si>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</si>
  <si>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VEHICLE BUDGET 2015-2016</t>
  </si>
  <si>
    <t>v0190</t>
  </si>
  <si>
    <t>037-056-1043</t>
  </si>
  <si>
    <t>DDC 662 L</t>
  </si>
  <si>
    <t>TRACKING DEVICE</t>
  </si>
  <si>
    <t>ISUZU KB200i 2x4 [036]</t>
  </si>
  <si>
    <t>036</t>
  </si>
  <si>
    <t>VEHICLE BUDGET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</si>
</sst>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 x14ac:knownFonts="1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3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0" borderId="17" xfId="0" applyNumberFormat="1" applyFont="1" applyFill="1" applyBorder="1"/>
    <xf numFmtId="166" fontId="6" fillId="6" borderId="0" xfId="0" applyNumberFormat="1" applyFont="1" applyFill="1" applyBorder="1"/>
    <xf numFmtId="166" fontId="6" fillId="0" borderId="18" xfId="0" applyNumberFormat="1" applyFont="1" applyFill="1" applyBorder="1"/>
    <xf numFmtId="166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 applyBorder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Fill="1" applyBorder="1"/>
    <xf numFmtId="166" fontId="6" fillId="0" borderId="0" xfId="0" applyNumberFormat="1" applyFont="1" applyFill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7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43" fontId="1" fillId="0" borderId="0" xfId="0" applyNumberFormat="1" applyFont="1"/>
    <xf numFmtId="43" fontId="12" fillId="26" borderId="13" xfId="0" applyNumberFormat="1" applyFont="1" applyFill="1" applyBorder="1" applyAlignment="1">
      <alignment horizontal="center"/>
    </xf>
    <xf numFmtId="43" fontId="12" fillId="26" borderId="21" xfId="0" applyNumberFormat="1" applyFont="1" applyFill="1" applyBorder="1" applyAlignment="1">
      <alignment horizontal="center"/>
    </xf>
    <xf numFmtId="43" fontId="12" fillId="26" borderId="9" xfId="0" applyNumberFormat="1" applyFont="1" applyFill="1" applyBorder="1" applyAlignment="1">
      <alignment horizontal="center" wrapText="1"/>
    </xf>
    <xf numFmtId="43" fontId="12" fillId="26" borderId="14" xfId="0" applyNumberFormat="1" applyFont="1" applyFill="1" applyBorder="1" applyAlignment="1">
      <alignment horizontal="center" wrapText="1"/>
    </xf>
    <xf numFmtId="43" fontId="11" fillId="0" borderId="22" xfId="0" applyNumberFormat="1" applyFont="1" applyBorder="1"/>
    <xf numFmtId="43" fontId="11" fillId="0" borderId="23" xfId="0" applyNumberFormat="1" applyFont="1" applyBorder="1"/>
    <xf numFmtId="43" fontId="11" fillId="0" borderId="24" xfId="0" applyNumberFormat="1" applyFont="1" applyBorder="1" applyAlignment="1">
      <alignment horizontal="right"/>
    </xf>
    <xf numFmtId="43" fontId="11" fillId="0" borderId="24" xfId="0" applyNumberFormat="1" applyFont="1" applyBorder="1" applyAlignment="1">
      <alignment horizontal="center"/>
    </xf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2" xfId="0" applyNumberFormat="1" applyFont="1" applyBorder="1" applyAlignment="1">
      <alignment horizontal="left"/>
    </xf>
    <xf numFmtId="43" fontId="11" fillId="0" borderId="23" xfId="0" applyNumberFormat="1" applyFont="1" applyBorder="1" applyAlignment="1">
      <alignment horizontal="left"/>
    </xf>
    <xf numFmtId="43" fontId="11" fillId="0" borderId="26" xfId="0" applyNumberFormat="1" applyFont="1" applyBorder="1"/>
    <xf numFmtId="43" fontId="11" fillId="0" borderId="27" xfId="0" applyNumberFormat="1" applyFont="1" applyBorder="1"/>
    <xf numFmtId="43" fontId="11" fillId="0" borderId="28" xfId="0" applyNumberFormat="1" applyFont="1" applyBorder="1" applyAlignment="1">
      <alignment horizontal="right"/>
    </xf>
    <xf numFmtId="43" fontId="11" fillId="0" borderId="28" xfId="0" applyNumberFormat="1" applyFont="1" applyBorder="1" applyAlignment="1">
      <alignment horizontal="center"/>
    </xf>
    <xf numFmtId="43" fontId="11" fillId="0" borderId="28" xfId="0" applyNumberFormat="1" applyFont="1" applyBorder="1"/>
    <xf numFmtId="43" fontId="11" fillId="0" borderId="29" xfId="0" applyNumberFormat="1" applyFont="1" applyBorder="1"/>
    <xf numFmtId="43" fontId="11" fillId="0" borderId="0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43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43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43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43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43" fontId="14" fillId="11" borderId="1" xfId="1" applyNumberFormat="1" applyFont="1" applyFill="1" applyBorder="1"/>
    <xf numFmtId="49" fontId="14" fillId="16" borderId="1" xfId="0" applyNumberFormat="1" applyFont="1" applyFill="1" applyBorder="1"/>
    <xf numFmtId="43" fontId="14" fillId="16" borderId="1" xfId="1" applyNumberFormat="1" applyFont="1" applyFill="1" applyBorder="1"/>
    <xf numFmtId="49" fontId="14" fillId="10" borderId="1" xfId="0" applyNumberFormat="1" applyFont="1" applyFill="1" applyBorder="1"/>
    <xf numFmtId="43" fontId="14" fillId="10" borderId="1" xfId="1" applyNumberFormat="1" applyFont="1" applyFill="1" applyBorder="1"/>
    <xf numFmtId="49" fontId="14" fillId="18" borderId="1" xfId="0" applyNumberFormat="1" applyFont="1" applyFill="1" applyBorder="1"/>
    <xf numFmtId="43" fontId="14" fillId="18" borderId="1" xfId="1" applyNumberFormat="1" applyFont="1" applyFill="1" applyBorder="1"/>
    <xf numFmtId="49" fontId="14" fillId="9" borderId="1" xfId="0" applyNumberFormat="1" applyFont="1" applyFill="1" applyBorder="1"/>
    <xf numFmtId="43" fontId="14" fillId="9" borderId="1" xfId="1" applyNumberFormat="1" applyFont="1" applyFill="1" applyBorder="1"/>
    <xf numFmtId="49" fontId="14" fillId="19" borderId="1" xfId="0" applyNumberFormat="1" applyFont="1" applyFill="1" applyBorder="1"/>
    <xf numFmtId="43" fontId="14" fillId="19" borderId="1" xfId="1" applyNumberFormat="1" applyFont="1" applyFill="1" applyBorder="1"/>
    <xf numFmtId="49" fontId="14" fillId="23" borderId="1" xfId="0" applyNumberFormat="1" applyFont="1" applyFill="1" applyBorder="1"/>
    <xf numFmtId="43" fontId="14" fillId="23" borderId="1" xfId="1" applyNumberFormat="1" applyFont="1" applyFill="1" applyBorder="1"/>
    <xf numFmtId="49" fontId="14" fillId="21" borderId="1" xfId="0" applyNumberFormat="1" applyFont="1" applyFill="1" applyBorder="1"/>
    <xf numFmtId="43" fontId="14" fillId="21" borderId="1" xfId="1" applyNumberFormat="1" applyFont="1" applyFill="1" applyBorder="1"/>
    <xf numFmtId="49" fontId="14" fillId="24" borderId="1" xfId="0" applyNumberFormat="1" applyFont="1" applyFill="1" applyBorder="1"/>
    <xf numFmtId="43" fontId="14" fillId="24" borderId="1" xfId="1" applyNumberFormat="1" applyFont="1" applyFill="1" applyBorder="1"/>
    <xf numFmtId="49" fontId="14" fillId="7" borderId="1" xfId="0" applyNumberFormat="1" applyFont="1" applyFill="1" applyBorder="1"/>
    <xf numFmtId="43" fontId="14" fillId="7" borderId="1" xfId="1" applyNumberFormat="1" applyFont="1" applyFill="1" applyBorder="1"/>
    <xf numFmtId="49" fontId="14" fillId="22" borderId="1" xfId="0" applyNumberFormat="1" applyFont="1" applyFill="1" applyBorder="1"/>
    <xf numFmtId="43" fontId="14" fillId="22" borderId="1" xfId="1" applyNumberFormat="1" applyFont="1" applyFill="1" applyBorder="1"/>
    <xf numFmtId="49" fontId="14" fillId="8" borderId="1" xfId="0" applyNumberFormat="1" applyFont="1" applyFill="1" applyBorder="1"/>
    <xf numFmtId="43" fontId="14" fillId="8" borderId="1" xfId="1" applyNumberFormat="1" applyFont="1" applyFill="1" applyBorder="1"/>
    <xf numFmtId="49" fontId="14" fillId="13" borderId="1" xfId="0" applyNumberFormat="1" applyFont="1" applyFill="1" applyBorder="1"/>
    <xf numFmtId="43" fontId="14" fillId="13" borderId="1" xfId="1" applyNumberFormat="1" applyFont="1" applyFill="1" applyBorder="1"/>
    <xf numFmtId="49" fontId="14" fillId="6" borderId="1" xfId="0" applyNumberFormat="1" applyFont="1" applyFill="1" applyBorder="1"/>
    <xf numFmtId="43" fontId="14" fillId="6" borderId="1" xfId="1" applyNumberFormat="1" applyFont="1" applyFill="1" applyBorder="1"/>
    <xf numFmtId="43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43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43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43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29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7" fontId="31" fillId="0" borderId="0" xfId="0" applyNumberFormat="1" applyFont="1"/>
    <xf numFmtId="167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7" fontId="31" fillId="0" borderId="0" xfId="0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7" fontId="38" fillId="0" borderId="39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7" fontId="38" fillId="0" borderId="0" xfId="0" applyNumberFormat="1" applyFont="1" applyFill="1"/>
    <xf numFmtId="167" fontId="38" fillId="0" borderId="0" xfId="0" applyNumberFormat="1" applyFont="1" applyFill="1" applyBorder="1"/>
    <xf numFmtId="43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7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3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7" fontId="41" fillId="0" borderId="39" xfId="0" applyNumberFormat="1" applyFont="1" applyFill="1" applyBorder="1" applyAlignment="1">
      <alignment horizontal="center"/>
    </xf>
    <xf numFmtId="167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43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43" fontId="31" fillId="0" borderId="0" xfId="0" applyNumberFormat="1" applyFont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2.xml"/><Relationship Id="rId49" Type="http://schemas.openxmlformats.org/officeDocument/2006/relationships/revisionLog" Target="revisionLog4.xml"/><Relationship Id="rId4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D9ACE7-69D4-48D2-B98B-44D6EECBE34C}" diskRevisions="1" revisionId="1832" version="2" protected="1">
  <header guid="{7642BA79-E8E1-47F2-9050-86B99DF8D8A0}" dateTime="2018-03-08T18:38:07" maxSheetId="16" userName="Andre A. Le Grange" r:id="rId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260084E-90FE-4665-9239-8F8CA855722C}" dateTime="2018-03-08T18:42:06" maxSheetId="16" userName="Andre A. Le Grange" r:id="rId48" minRId="1805" maxRId="18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D9ACE7-69D4-48D2-B98B-44D6EECBE34C}" dateTime="2018-03-12T09:07:23" maxSheetId="16" userName="Johan Biewenga" r:id="rId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EEM!$A$1:$Q$92</formula>
    <oldFormula>EEM!$A$1:$Q$92</oldFormula>
  </rdn>
  <rdn rId="0" localSheetId="5" customView="1" name="Z_DF69299D_7752_4436_A45D_28F739CEE21B_.wvu.Cols" hidden="1" oldHidden="1">
    <formula>EEM!$P:$P</formula>
    <oldFormula>EEM!$P:$P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5" sId="9" numFmtId="13">
    <oc r="A2">
      <v>0.04</v>
    </oc>
    <nc r="A2">
      <v>0.06</v>
    </nc>
  </rcc>
  <rcc rId="1806" sId="6" numFmtId="34">
    <oc r="J53">
      <v>550000</v>
    </oc>
    <nc r="J53">
      <v>0</v>
    </nc>
  </rcc>
  <rcc rId="1807" sId="6" numFmtId="34">
    <oc r="J54">
      <v>550000</v>
    </oc>
    <nc r="J54">
      <v>0</v>
    </nc>
  </rcc>
  <rcc rId="1808" sId="9" numFmtId="34">
    <oc r="A6">
      <v>1000000</v>
    </oc>
    <nc r="A6">
      <v>2500000</v>
    </nc>
  </rcc>
  <rcc rId="1809" sId="9" numFmtId="34">
    <oc r="A4">
      <v>13.8</v>
    </oc>
    <nc r="A4">
      <v>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DF61089_79B2_41AA_A0E5_3D263EEF5CE4_.wvu.PrintArea" hidden="1" oldHidden="1">
    <formula>mayor!$A$1:$Q$42</formula>
  </rdn>
  <rdn rId="0" localSheetId="1" customView="1" name="Z_6DF61089_79B2_41AA_A0E5_3D263EEF5CE4_.wvu.Cols" hidden="1" oldHidden="1">
    <formula>mayor!$P:$P</formula>
  </rdn>
  <rdn rId="0" localSheetId="2" customView="1" name="Z_6DF61089_79B2_41AA_A0E5_3D263EEF5CE4_.wvu.PrintArea" hidden="1" oldHidden="1">
    <formula>income!$A$1:$Q$16</formula>
  </rdn>
  <rdn rId="0" localSheetId="2" customView="1" name="Z_6DF61089_79B2_41AA_A0E5_3D263EEF5CE4_.wvu.Cols" hidden="1" oldHidden="1">
    <formula>income!$P:$P</formula>
  </rdn>
  <rdn rId="0" localSheetId="3" customView="1" name="Z_6DF61089_79B2_41AA_A0E5_3D263EEF5CE4_.wvu.PrintArea" hidden="1" oldHidden="1">
    <formula>workshop!$A$1:$Q$20</formula>
  </rdn>
  <rdn rId="0" localSheetId="3" customView="1" name="Z_6DF61089_79B2_41AA_A0E5_3D263EEF5CE4_.wvu.Cols" hidden="1" oldHidden="1">
    <formula>workshop!$J:$J,workshop!$P:$P</formula>
  </rdn>
  <rdn rId="0" localSheetId="4" customView="1" name="Z_6DF61089_79B2_41AA_A0E5_3D263EEF5CE4_.wvu.PrintArea" hidden="1" oldHidden="1">
    <formula>'COMMUNITY SERV'!$A$1:$Q$102</formula>
  </rdn>
  <rdn rId="0" localSheetId="5" customView="1" name="Z_6DF61089_79B2_41AA_A0E5_3D263EEF5CE4_.wvu.PrintArea" hidden="1" oldHidden="1">
    <formula>EEM!$A$1:$Q$92</formula>
  </rdn>
  <rdn rId="0" localSheetId="5" customView="1" name="Z_6DF61089_79B2_41AA_A0E5_3D263EEF5CE4_.wvu.Cols" hidden="1" oldHidden="1">
    <formula>EEM!$P:$P</formula>
  </rdn>
  <rdn rId="0" localSheetId="6" customView="1" name="Z_6DF61089_79B2_41AA_A0E5_3D263EEF5CE4_.wvu.PrintArea" hidden="1" oldHidden="1">
    <formula>CEM!$A$1:$Q$145</formula>
  </rdn>
  <rdn rId="0" localSheetId="6" customView="1" name="Z_6DF61089_79B2_41AA_A0E5_3D263EEF5CE4_.wvu.Rows" hidden="1" oldHidden="1">
    <formula>CEM!$140:$140</formula>
  </rdn>
  <rdn rId="0" localSheetId="7" customView="1" name="Z_6DF61089_79B2_41AA_A0E5_3D263EEF5CE4_.wvu.PrintArea" hidden="1" oldHidden="1">
    <formula>MDC!$A$1:$Q$90</formula>
  </rdn>
  <rdn rId="0" localSheetId="7" customView="1" name="Z_6DF61089_79B2_41AA_A0E5_3D263EEF5CE4_.wvu.Rows" hidden="1" oldHidden="1">
    <formula>MDC!$67:$73</formula>
  </rdn>
  <rdn rId="0" localSheetId="7" customView="1" name="Z_6DF61089_79B2_41AA_A0E5_3D263EEF5CE4_.wvu.Cols" hidden="1" oldHidden="1">
    <formula>MDC!$J:$J,MDC!$P:$P</formula>
  </rdn>
  <rdn rId="0" localSheetId="8" customView="1" name="Z_6DF61089_79B2_41AA_A0E5_3D263EEF5CE4_.wvu.PrintArea" hidden="1" oldHidden="1">
    <formula>BUDGET!$A$1:$B$76</formula>
  </rdn>
  <rdn rId="0" localSheetId="8" customView="1" name="Z_6DF61089_79B2_41AA_A0E5_3D263EEF5CE4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6DF61089_79B2_41AA_A0E5_3D263EEF5CE4_.wvu.Cols" hidden="1" oldHidden="1">
    <formula>BUDGET!$C:$S</formula>
  </rdn>
  <rdn rId="0" localSheetId="10" customView="1" name="Z_6DF61089_79B2_41AA_A0E5_3D263EEF5CE4_.wvu.FilterData" hidden="1" oldHidden="1">
    <formula>orig!$A$1:$AN$198</formula>
  </rdn>
  <rdn rId="0" localSheetId="11" customView="1" name="Z_6DF61089_79B2_41AA_A0E5_3D263EEF5CE4_.wvu.Cols" hidden="1" oldHidden="1">
    <formula>'1-10'!$B:$B</formula>
  </rdn>
  <rdn rId="0" localSheetId="11" customView="1" name="Z_6DF61089_79B2_41AA_A0E5_3D263EEF5CE4_.wvu.FilterData" hidden="1" oldHidden="1">
    <formula>'1-10'!$A$1:$AY$100</formula>
  </rdn>
  <rdn rId="0" localSheetId="12" customView="1" name="Z_6DF61089_79B2_41AA_A0E5_3D263EEF5CE4_.wvu.Rows" hidden="1" oldHidden="1">
    <formula>'new veh 2012'!$96:$97</formula>
  </rdn>
  <rdn rId="0" localSheetId="12" customView="1" name="Z_6DF61089_79B2_41AA_A0E5_3D263EEF5CE4_.wvu.FilterData" hidden="1" oldHidden="1">
    <formula>'new veh 2012'!$A$1:$J$95</formula>
  </rdn>
  <rdn rId="0" localSheetId="14" customView="1" name="Z_6DF61089_79B2_41AA_A0E5_3D263EEF5CE4_.wvu.FilterData" hidden="1" oldHidden="1">
    <formula>stbk!$A$1:$G$199</formula>
  </rdn>
  <rcv guid="{6DF61089-79B2-41AA-A0E5-3D263EEF5CE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T127"/>
  <sheetViews>
    <sheetView zoomScaleSheetLayoutView="100" workbookViewId="0">
      <pane xSplit="3" ySplit="3" topLeftCell="D17" activePane="bottomRight" state="frozen"/>
      <selection pane="topRight" activeCell="D1" sqref="D1"/>
      <selection pane="bottomLeft" activeCell="A4" sqref="A4"/>
      <selection pane="bottomRight" activeCell="L8" sqref="L8:L38"/>
    </sheetView>
  </sheetViews>
  <sheetFormatPr defaultColWidth="9.140625" defaultRowHeight="11.25" x14ac:dyDescent="0.2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 x14ac:dyDescent="0.2">
      <c r="A1" s="18" t="s">
        <v>1499</v>
      </c>
      <c r="C1" s="55"/>
      <c r="D1" s="17" t="s">
        <v>1491</v>
      </c>
      <c r="G1" s="37">
        <f>5300*(1+CALC!$A$2)</f>
        <v>5618</v>
      </c>
      <c r="H1" s="37">
        <f>6000*(1+CALC!$A$2)</f>
        <v>6360</v>
      </c>
    </row>
    <row r="3" spans="1:20" s="96" customFormat="1" ht="33" customHeight="1" x14ac:dyDescent="0.2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178</v>
      </c>
      <c r="F3" s="327" t="s">
        <v>1503</v>
      </c>
      <c r="G3" s="327" t="s">
        <v>179</v>
      </c>
      <c r="H3" s="327" t="s">
        <v>180</v>
      </c>
      <c r="I3" s="327" t="s">
        <v>185</v>
      </c>
      <c r="J3" s="327" t="s">
        <v>181</v>
      </c>
      <c r="K3" s="327" t="s">
        <v>182</v>
      </c>
      <c r="L3" s="327" t="s">
        <v>236</v>
      </c>
      <c r="M3" s="328" t="s">
        <v>12</v>
      </c>
      <c r="N3" s="327" t="s">
        <v>184</v>
      </c>
      <c r="O3" s="327" t="s">
        <v>183</v>
      </c>
      <c r="P3" s="329" t="s">
        <v>86</v>
      </c>
      <c r="Q3" s="329" t="s">
        <v>11</v>
      </c>
    </row>
    <row r="4" spans="1:20" s="10" customFormat="1" ht="17.25" customHeight="1" x14ac:dyDescent="0.2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286</v>
      </c>
      <c r="D6" s="542" t="s">
        <v>673</v>
      </c>
      <c r="E6" s="543"/>
      <c r="F6" s="544"/>
    </row>
    <row r="7" spans="1:20" x14ac:dyDescent="0.2">
      <c r="J7" s="9"/>
      <c r="Q7" s="21"/>
    </row>
    <row r="8" spans="1:20" s="9" customFormat="1" x14ac:dyDescent="0.2">
      <c r="A8" s="61" t="str">
        <f>+'1-10'!C14</f>
        <v>ISUZU KB200i 2x4 [003]</v>
      </c>
      <c r="B8" s="61" t="s">
        <v>575</v>
      </c>
      <c r="C8" s="54">
        <v>613</v>
      </c>
      <c r="D8" s="46">
        <v>20592</v>
      </c>
      <c r="E8" s="131">
        <f>+D8/P8*(CALC!$A$4)</f>
        <v>32755.037115588544</v>
      </c>
      <c r="F8" s="37">
        <f>250*12</f>
        <v>3000</v>
      </c>
      <c r="G8" s="37">
        <f>5500*(1+CALC!A2)</f>
        <v>5830</v>
      </c>
      <c r="H8" s="37">
        <f>15000*(1+CALC!$A$2)</f>
        <v>15900</v>
      </c>
      <c r="I8" s="37">
        <v>33661.78</v>
      </c>
      <c r="J8" s="37"/>
      <c r="K8" s="37">
        <f>500*(1.05+CALC!$A$2)</f>
        <v>555</v>
      </c>
      <c r="L8" s="37"/>
      <c r="M8" s="37">
        <f>SUM(E8:L8)</f>
        <v>91701.81711558855</v>
      </c>
      <c r="N8" s="37">
        <f>M8/CALC!$A$8*CALC!$A$6</f>
        <v>9092.3227760455466</v>
      </c>
      <c r="O8" s="37">
        <f>+M8+N8</f>
        <v>100794.1398916341</v>
      </c>
      <c r="P8" s="48">
        <v>9.43</v>
      </c>
      <c r="Q8" s="49"/>
    </row>
    <row r="9" spans="1:20" s="9" customFormat="1" x14ac:dyDescent="0.2">
      <c r="A9" s="61" t="str">
        <f>+'1-10'!C28</f>
        <v>ISUZU KB200i 2x4  [006]</v>
      </c>
      <c r="B9" s="61" t="s">
        <v>589</v>
      </c>
      <c r="C9" s="54">
        <v>627</v>
      </c>
      <c r="D9" s="46">
        <v>23284</v>
      </c>
      <c r="E9" s="131">
        <f>+D9/P9*(CALC!$A$4)</f>
        <v>39067.114093959739</v>
      </c>
      <c r="F9" s="37">
        <v>3000</v>
      </c>
      <c r="G9" s="37">
        <f>5500*(1+CALC!$A$2)</f>
        <v>5830</v>
      </c>
      <c r="H9" s="37">
        <f>15000*(1+CALC!$A$2)</f>
        <v>15900</v>
      </c>
      <c r="I9" s="37">
        <v>33661.78</v>
      </c>
      <c r="J9" s="37"/>
      <c r="K9" s="37">
        <f>500*(1.05+CALC!$A$2)</f>
        <v>555</v>
      </c>
      <c r="L9" s="37"/>
      <c r="M9" s="37">
        <f>SUM(E9:L9)</f>
        <v>98013.894093959738</v>
      </c>
      <c r="N9" s="37">
        <f>M9/CALC!$A$8*CALC!$A$6</f>
        <v>9718.1712388110791</v>
      </c>
      <c r="O9" s="37">
        <f>+M9+N9</f>
        <v>107732.06533277081</v>
      </c>
      <c r="P9" s="48">
        <v>8.94</v>
      </c>
      <c r="Q9" s="49"/>
    </row>
    <row r="10" spans="1:20" x14ac:dyDescent="0.2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 x14ac:dyDescent="0.2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71822.15120954829</v>
      </c>
      <c r="F11" s="56">
        <f t="shared" si="0"/>
        <v>6000</v>
      </c>
      <c r="G11" s="56">
        <f t="shared" si="0"/>
        <v>11660</v>
      </c>
      <c r="H11" s="56">
        <f t="shared" si="0"/>
        <v>31800</v>
      </c>
      <c r="I11" s="56">
        <f t="shared" si="0"/>
        <v>67323.56</v>
      </c>
      <c r="J11" s="56">
        <f t="shared" si="0"/>
        <v>0</v>
      </c>
      <c r="K11" s="56">
        <f t="shared" si="0"/>
        <v>1110</v>
      </c>
      <c r="L11" s="56"/>
      <c r="M11" s="56">
        <f t="shared" si="0"/>
        <v>189715.71120954829</v>
      </c>
      <c r="N11" s="56">
        <f t="shared" si="0"/>
        <v>18810.494014856624</v>
      </c>
      <c r="O11" s="56">
        <f t="shared" si="0"/>
        <v>208526.20522440493</v>
      </c>
      <c r="P11" s="33"/>
      <c r="Q11" s="135">
        <f>(+O11/D11)</f>
        <v>4.7526257002553773</v>
      </c>
      <c r="T11" s="18">
        <f>Q11*D11</f>
        <v>208526.20522440493</v>
      </c>
    </row>
    <row r="12" spans="1:20" s="18" customFormat="1" ht="12" thickBot="1" x14ac:dyDescent="0.25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 x14ac:dyDescent="0.25">
      <c r="A13" s="330" t="s">
        <v>10</v>
      </c>
      <c r="B13" s="331" t="s">
        <v>474</v>
      </c>
      <c r="D13" s="542" t="s">
        <v>253</v>
      </c>
      <c r="E13" s="543"/>
      <c r="F13" s="544"/>
      <c r="J13" s="9"/>
      <c r="Q13" s="21"/>
    </row>
    <row r="14" spans="1:20" x14ac:dyDescent="0.2">
      <c r="J14" s="9"/>
      <c r="Q14" s="21"/>
    </row>
    <row r="15" spans="1:20" s="9" customFormat="1" x14ac:dyDescent="0.2">
      <c r="A15" s="12" t="str">
        <f>+'1-10'!C50</f>
        <v>TOYOTA QUANTUM [006]</v>
      </c>
      <c r="B15" s="61" t="s">
        <v>598</v>
      </c>
      <c r="C15" s="54">
        <v>649</v>
      </c>
      <c r="D15" s="46">
        <v>10000</v>
      </c>
      <c r="E15" s="131">
        <f>+D15/P15*(CALC!$A$4)</f>
        <v>21428.571428571431</v>
      </c>
      <c r="F15" s="37">
        <v>3000</v>
      </c>
      <c r="G15" s="37">
        <f>5300*(1+CALC!$A$2)</f>
        <v>5618</v>
      </c>
      <c r="H15" s="37">
        <f>6000*(1+CALC!$A$2)</f>
        <v>6360</v>
      </c>
      <c r="I15" s="37">
        <v>67037.61</v>
      </c>
      <c r="J15" s="37"/>
      <c r="K15" s="37">
        <f>800*(1.05+CALC!$A$2)</f>
        <v>888.00000000000011</v>
      </c>
      <c r="L15" s="37"/>
      <c r="M15" s="37">
        <f>SUM(E15:L15)</f>
        <v>104332.18142857144</v>
      </c>
      <c r="N15" s="37">
        <f>M15/CALC!$A$8*CALC!$A$6</f>
        <v>10344.635464331037</v>
      </c>
      <c r="O15" s="37">
        <f>+M15+N15</f>
        <v>114676.81689290247</v>
      </c>
      <c r="P15" s="48">
        <v>7</v>
      </c>
      <c r="Q15" s="49"/>
    </row>
    <row r="16" spans="1:20" s="9" customFormat="1" x14ac:dyDescent="0.2">
      <c r="A16" s="12" t="str">
        <f>+'1-10'!C51</f>
        <v>TOYOTA QUANTUM [003]</v>
      </c>
      <c r="B16" s="61" t="s">
        <v>1502</v>
      </c>
      <c r="C16" s="54">
        <v>650</v>
      </c>
      <c r="D16" s="46">
        <v>12000</v>
      </c>
      <c r="E16" s="131">
        <f>+D16/P16*(CALC!$A$4)</f>
        <v>25714.285714285714</v>
      </c>
      <c r="F16" s="37">
        <v>3000</v>
      </c>
      <c r="G16" s="37">
        <f>5300*(1+CALC!$A$2)</f>
        <v>5618</v>
      </c>
      <c r="H16" s="37">
        <f>6000*(1+CALC!$A$2)</f>
        <v>6360</v>
      </c>
      <c r="I16" s="37">
        <v>67037.61</v>
      </c>
      <c r="J16" s="37"/>
      <c r="K16" s="37">
        <f>800*(1.05+CALC!$A$2)</f>
        <v>888.00000000000011</v>
      </c>
      <c r="L16" s="37"/>
      <c r="M16" s="37">
        <f>SUM(E16:L16)</f>
        <v>108617.89571428571</v>
      </c>
      <c r="N16" s="37">
        <f>M16/CALC!$A$8*CALC!$A$6</f>
        <v>10769.568130196387</v>
      </c>
      <c r="O16" s="37">
        <f>+M16+N16</f>
        <v>119387.4638444821</v>
      </c>
      <c r="P16" s="48">
        <v>7</v>
      </c>
      <c r="Q16" s="49"/>
    </row>
    <row r="17" spans="1:17" x14ac:dyDescent="0.2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 x14ac:dyDescent="0.2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47142.857142857145</v>
      </c>
      <c r="F18" s="56">
        <f t="shared" si="1"/>
        <v>6000</v>
      </c>
      <c r="G18" s="56">
        <f t="shared" si="1"/>
        <v>11236</v>
      </c>
      <c r="H18" s="56">
        <f t="shared" si="1"/>
        <v>12720</v>
      </c>
      <c r="I18" s="56">
        <f t="shared" si="1"/>
        <v>134075.22</v>
      </c>
      <c r="J18" s="56">
        <f t="shared" si="1"/>
        <v>0</v>
      </c>
      <c r="K18" s="56">
        <f t="shared" si="1"/>
        <v>1776.0000000000002</v>
      </c>
      <c r="L18" s="56"/>
      <c r="M18" s="56">
        <f t="shared" si="1"/>
        <v>212950.07714285713</v>
      </c>
      <c r="N18" s="56">
        <f t="shared" si="1"/>
        <v>21114.203594527426</v>
      </c>
      <c r="O18" s="56">
        <f t="shared" si="1"/>
        <v>234064.28073738457</v>
      </c>
      <c r="P18" s="33"/>
      <c r="Q18" s="135">
        <f>(+O18/D18)</f>
        <v>10.639285488062935</v>
      </c>
    </row>
    <row r="19" spans="1:17" s="18" customFormat="1" ht="12" thickBot="1" x14ac:dyDescent="0.25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 x14ac:dyDescent="0.25">
      <c r="A20" s="330" t="s">
        <v>10</v>
      </c>
      <c r="B20" s="331" t="s">
        <v>475</v>
      </c>
      <c r="D20" s="542" t="s">
        <v>140</v>
      </c>
      <c r="E20" s="543"/>
      <c r="F20" s="544"/>
      <c r="J20" s="9"/>
      <c r="Q20" s="21"/>
    </row>
    <row r="21" spans="1:17" x14ac:dyDescent="0.2">
      <c r="J21" s="9"/>
      <c r="Q21" s="21"/>
    </row>
    <row r="22" spans="1:17" s="9" customFormat="1" x14ac:dyDescent="0.2">
      <c r="A22" s="61" t="str">
        <f>+'1-10'!C2</f>
        <v>CHEVROLET AVEO 1.6  [057]</v>
      </c>
      <c r="B22" s="61" t="s">
        <v>590</v>
      </c>
      <c r="C22" s="54">
        <v>601</v>
      </c>
      <c r="D22" s="46">
        <v>32576</v>
      </c>
      <c r="E22" s="62">
        <f>+D22/P22*(CALC!$A$4)</f>
        <v>61080</v>
      </c>
      <c r="F22" s="37">
        <v>3000</v>
      </c>
      <c r="G22" s="37">
        <f>5300*(1+CALC!$A$2)</f>
        <v>5618</v>
      </c>
      <c r="H22" s="37">
        <f>6000*(1+CALC!$A$2)</f>
        <v>6360</v>
      </c>
      <c r="I22" s="37">
        <v>32284.74</v>
      </c>
      <c r="J22" s="37"/>
      <c r="K22" s="37">
        <f>500*(1.05+CALC!$A$2)</f>
        <v>555</v>
      </c>
      <c r="L22" s="37"/>
      <c r="M22" s="37">
        <f>SUM(E22:L22)</f>
        <v>108897.74</v>
      </c>
      <c r="N22" s="37">
        <f>M22/CALC!$A$8*CALC!$A$6</f>
        <v>10797.314958479396</v>
      </c>
      <c r="O22" s="37">
        <f>+M22+N22</f>
        <v>119695.05495847941</v>
      </c>
      <c r="P22" s="48">
        <v>8</v>
      </c>
      <c r="Q22" s="49"/>
    </row>
    <row r="23" spans="1:17" x14ac:dyDescent="0.2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 x14ac:dyDescent="0.2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61080</v>
      </c>
      <c r="F24" s="14">
        <f t="shared" si="2"/>
        <v>3000</v>
      </c>
      <c r="G24" s="14">
        <f t="shared" si="2"/>
        <v>5618</v>
      </c>
      <c r="H24" s="14">
        <f t="shared" si="2"/>
        <v>6360</v>
      </c>
      <c r="I24" s="14">
        <f t="shared" si="2"/>
        <v>32284.74</v>
      </c>
      <c r="J24" s="14">
        <f t="shared" si="2"/>
        <v>0</v>
      </c>
      <c r="K24" s="14">
        <f t="shared" si="2"/>
        <v>555</v>
      </c>
      <c r="L24" s="14"/>
      <c r="M24" s="14">
        <f t="shared" si="2"/>
        <v>108897.74</v>
      </c>
      <c r="N24" s="14">
        <f>+N22</f>
        <v>10797.314958479396</v>
      </c>
      <c r="O24" s="14">
        <f>+M24+N24</f>
        <v>119695.05495847941</v>
      </c>
      <c r="P24" s="33"/>
      <c r="Q24" s="135">
        <f>(+O24/D24)*(1+CALC!$A$3)</f>
        <v>3.6743324827627517</v>
      </c>
    </row>
    <row r="25" spans="1:17" s="18" customFormat="1" ht="12" thickBot="1" x14ac:dyDescent="0.25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 x14ac:dyDescent="0.25">
      <c r="A26" s="330" t="s">
        <v>10</v>
      </c>
      <c r="B26" s="331" t="s">
        <v>143</v>
      </c>
      <c r="D26" s="542" t="s">
        <v>257</v>
      </c>
      <c r="E26" s="543"/>
      <c r="F26" s="544"/>
      <c r="J26" s="9"/>
      <c r="Q26" s="21"/>
    </row>
    <row r="27" spans="1:17" x14ac:dyDescent="0.2">
      <c r="J27" s="9"/>
      <c r="Q27" s="21"/>
    </row>
    <row r="28" spans="1:17" s="9" customFormat="1" x14ac:dyDescent="0.2">
      <c r="A28" s="61" t="s">
        <v>601</v>
      </c>
      <c r="B28" s="61" t="s">
        <v>600</v>
      </c>
      <c r="C28" s="54">
        <v>600</v>
      </c>
      <c r="D28" s="46">
        <v>31380</v>
      </c>
      <c r="E28" s="131">
        <f>+D28/P28*(CALC!$A$4)</f>
        <v>65740.223463687144</v>
      </c>
      <c r="F28" s="37">
        <v>3000</v>
      </c>
      <c r="G28" s="37">
        <v>50000</v>
      </c>
      <c r="H28" s="37">
        <v>20000</v>
      </c>
      <c r="I28" s="37">
        <v>200000</v>
      </c>
      <c r="J28" s="37"/>
      <c r="K28" s="37">
        <f>1000*(1.05+CALC!$A$2)</f>
        <v>1110</v>
      </c>
      <c r="L28" s="37"/>
      <c r="M28" s="37">
        <f>SUM(E28:L28)</f>
        <v>339850.22346368711</v>
      </c>
      <c r="N28" s="32">
        <f>M28/CALC!$A$8*CALC!$A$6</f>
        <v>33696.4743386505</v>
      </c>
      <c r="O28" s="37">
        <f>+M28+N28</f>
        <v>373546.69780233759</v>
      </c>
      <c r="P28" s="48">
        <v>7.16</v>
      </c>
      <c r="Q28" s="49"/>
    </row>
    <row r="29" spans="1:17" x14ac:dyDescent="0.2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 x14ac:dyDescent="0.2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65740.223463687144</v>
      </c>
      <c r="F30" s="14">
        <f t="shared" si="3"/>
        <v>3000</v>
      </c>
      <c r="G30" s="14">
        <f t="shared" si="3"/>
        <v>50000</v>
      </c>
      <c r="H30" s="14">
        <f t="shared" si="3"/>
        <v>20000</v>
      </c>
      <c r="I30" s="14">
        <f t="shared" si="3"/>
        <v>200000</v>
      </c>
      <c r="J30" s="14">
        <f t="shared" si="3"/>
        <v>0</v>
      </c>
      <c r="K30" s="14">
        <f t="shared" si="3"/>
        <v>1110</v>
      </c>
      <c r="L30" s="14"/>
      <c r="M30" s="14">
        <f t="shared" si="3"/>
        <v>339850.22346368711</v>
      </c>
      <c r="N30" s="14">
        <f>+N28</f>
        <v>33696.4743386505</v>
      </c>
      <c r="O30" s="14">
        <f>+M30+N30</f>
        <v>373546.69780233759</v>
      </c>
      <c r="P30" s="33"/>
      <c r="Q30" s="135">
        <f>(+O30/D30)*(1+CALC!$A$3)</f>
        <v>11.903973798672325</v>
      </c>
    </row>
    <row r="31" spans="1:17" s="18" customFormat="1" ht="12" thickBot="1" x14ac:dyDescent="0.25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 x14ac:dyDescent="0.25">
      <c r="A32" s="330" t="s">
        <v>10</v>
      </c>
      <c r="B32" s="331" t="s">
        <v>143</v>
      </c>
      <c r="D32" s="542" t="s">
        <v>257</v>
      </c>
      <c r="E32" s="543"/>
      <c r="F32" s="544"/>
      <c r="J32" s="9"/>
      <c r="Q32" s="21"/>
    </row>
    <row r="33" spans="1:17" x14ac:dyDescent="0.2">
      <c r="J33" s="9"/>
      <c r="Q33" s="21"/>
    </row>
    <row r="34" spans="1:17" s="9" customFormat="1" x14ac:dyDescent="0.2">
      <c r="A34" s="61" t="s">
        <v>1497</v>
      </c>
      <c r="B34" s="61" t="s">
        <v>1498</v>
      </c>
      <c r="C34" s="54">
        <v>700</v>
      </c>
      <c r="D34" s="46">
        <v>38000</v>
      </c>
      <c r="E34" s="131">
        <f>+D34/P34*(CALC!$A$4)</f>
        <v>61290.322580645152</v>
      </c>
      <c r="F34" s="37">
        <v>3000</v>
      </c>
      <c r="G34" s="479">
        <f>31000*(1+CALC!$A$2)</f>
        <v>32860</v>
      </c>
      <c r="H34" s="479">
        <f>30000*(1+CALC!$A$2)</f>
        <v>31800</v>
      </c>
      <c r="I34" s="479">
        <f>420071.54/5</f>
        <v>84014.30799999999</v>
      </c>
      <c r="J34" s="479"/>
      <c r="K34" s="479">
        <f>1000*(1.05+CALC!$A$2)</f>
        <v>1110</v>
      </c>
      <c r="L34" s="479"/>
      <c r="M34" s="479">
        <f>SUM(E34:L34)</f>
        <v>214074.63058064514</v>
      </c>
      <c r="N34" s="480">
        <f>M34/CALC!$A$8*CALC!$A$6</f>
        <v>21225.704142247127</v>
      </c>
      <c r="O34" s="479">
        <f>+M34+N34</f>
        <v>235300.33472289226</v>
      </c>
      <c r="P34" s="48">
        <v>9.3000000000000007</v>
      </c>
      <c r="Q34" s="49"/>
    </row>
    <row r="35" spans="1:17" x14ac:dyDescent="0.2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 x14ac:dyDescent="0.2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61290.322580645152</v>
      </c>
      <c r="F36" s="14">
        <f t="shared" si="4"/>
        <v>3000</v>
      </c>
      <c r="G36" s="14">
        <f t="shared" si="4"/>
        <v>32860</v>
      </c>
      <c r="H36" s="14">
        <f t="shared" si="4"/>
        <v>31800</v>
      </c>
      <c r="I36" s="14">
        <f t="shared" si="4"/>
        <v>84014.30799999999</v>
      </c>
      <c r="J36" s="14">
        <f t="shared" si="4"/>
        <v>0</v>
      </c>
      <c r="K36" s="14">
        <f t="shared" si="4"/>
        <v>1110</v>
      </c>
      <c r="L36" s="14"/>
      <c r="M36" s="14">
        <f t="shared" ref="M36" si="5">SUM(M34:M35)</f>
        <v>214074.63058064514</v>
      </c>
      <c r="N36" s="14">
        <f>+N34</f>
        <v>21225.704142247127</v>
      </c>
      <c r="O36" s="14">
        <f>+M36+N36</f>
        <v>235300.33472289226</v>
      </c>
      <c r="P36" s="33"/>
      <c r="Q36" s="135">
        <f>(+O36/D36)*(1+CALC!$A$3)</f>
        <v>6.1921140716550598</v>
      </c>
    </row>
    <row r="37" spans="1:17" s="18" customFormat="1" x14ac:dyDescent="0.2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 x14ac:dyDescent="0.25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 x14ac:dyDescent="0.25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 x14ac:dyDescent="0.25">
      <c r="A40" s="42" t="s">
        <v>116</v>
      </c>
      <c r="B40" s="73" t="s">
        <v>14</v>
      </c>
      <c r="C40" s="74"/>
      <c r="D40" s="75">
        <f>+D8+D16</f>
        <v>32592</v>
      </c>
      <c r="E40" s="76">
        <f>+E8+E16</f>
        <v>58469.322829874262</v>
      </c>
      <c r="F40" s="76">
        <f t="shared" ref="F40:O40" si="6">+F8+F16</f>
        <v>6000</v>
      </c>
      <c r="G40" s="76">
        <f t="shared" si="6"/>
        <v>11448</v>
      </c>
      <c r="H40" s="76">
        <f t="shared" si="6"/>
        <v>22260</v>
      </c>
      <c r="I40" s="76">
        <f t="shared" si="6"/>
        <v>100699.39</v>
      </c>
      <c r="J40" s="76">
        <f t="shared" si="6"/>
        <v>0</v>
      </c>
      <c r="K40" s="76">
        <f t="shared" si="6"/>
        <v>1443</v>
      </c>
      <c r="L40" s="76">
        <f t="shared" si="6"/>
        <v>0</v>
      </c>
      <c r="M40" s="76">
        <f t="shared" si="6"/>
        <v>200319.71282987425</v>
      </c>
      <c r="N40" s="76">
        <f t="shared" si="6"/>
        <v>19861.890906241933</v>
      </c>
      <c r="O40" s="76">
        <f t="shared" si="6"/>
        <v>220181.6037361162</v>
      </c>
      <c r="P40" s="44"/>
      <c r="Q40" s="43"/>
    </row>
    <row r="41" spans="1:17" s="18" customFormat="1" ht="12" thickBot="1" x14ac:dyDescent="0.25">
      <c r="A41" s="42" t="s">
        <v>117</v>
      </c>
      <c r="B41" s="73" t="s">
        <v>14</v>
      </c>
      <c r="C41" s="74"/>
      <c r="D41" s="75">
        <f>+D9+D15</f>
        <v>33284</v>
      </c>
      <c r="E41" s="76">
        <f>+E9+E15</f>
        <v>60495.685522531174</v>
      </c>
      <c r="F41" s="76">
        <f t="shared" ref="F41:O41" si="7">+F9+F15</f>
        <v>6000</v>
      </c>
      <c r="G41" s="76">
        <f t="shared" si="7"/>
        <v>11448</v>
      </c>
      <c r="H41" s="76">
        <f t="shared" si="7"/>
        <v>22260</v>
      </c>
      <c r="I41" s="76">
        <f t="shared" si="7"/>
        <v>100699.39</v>
      </c>
      <c r="J41" s="76">
        <f t="shared" si="7"/>
        <v>0</v>
      </c>
      <c r="K41" s="76">
        <f t="shared" si="7"/>
        <v>1443</v>
      </c>
      <c r="L41" s="76">
        <f t="shared" si="7"/>
        <v>0</v>
      </c>
      <c r="M41" s="76">
        <f t="shared" si="7"/>
        <v>202346.07552253117</v>
      </c>
      <c r="N41" s="76">
        <f t="shared" si="7"/>
        <v>20062.806703142116</v>
      </c>
      <c r="O41" s="76">
        <f t="shared" si="7"/>
        <v>222408.8822256733</v>
      </c>
      <c r="P41" s="133"/>
      <c r="Q41" s="43"/>
    </row>
    <row r="42" spans="1:17" s="18" customFormat="1" ht="12" thickBot="1" x14ac:dyDescent="0.25">
      <c r="A42" s="42" t="s">
        <v>244</v>
      </c>
      <c r="B42" s="73" t="s">
        <v>14</v>
      </c>
      <c r="C42" s="74"/>
      <c r="D42" s="75">
        <f>+D24+D30+D36</f>
        <v>101956</v>
      </c>
      <c r="E42" s="76">
        <f>+E24+E30+E36</f>
        <v>188110.5460443323</v>
      </c>
      <c r="F42" s="76">
        <f t="shared" ref="F42:O42" si="8">+F24+F30+F36</f>
        <v>9000</v>
      </c>
      <c r="G42" s="76">
        <f t="shared" si="8"/>
        <v>88478</v>
      </c>
      <c r="H42" s="76">
        <f t="shared" si="8"/>
        <v>58160</v>
      </c>
      <c r="I42" s="76">
        <f t="shared" si="8"/>
        <v>316299.04799999995</v>
      </c>
      <c r="J42" s="76">
        <f t="shared" si="8"/>
        <v>0</v>
      </c>
      <c r="K42" s="76">
        <f t="shared" si="8"/>
        <v>2775</v>
      </c>
      <c r="L42" s="76">
        <f t="shared" si="8"/>
        <v>0</v>
      </c>
      <c r="M42" s="76">
        <f t="shared" si="8"/>
        <v>662822.59404433228</v>
      </c>
      <c r="N42" s="76">
        <f t="shared" si="8"/>
        <v>65719.493439377024</v>
      </c>
      <c r="O42" s="76">
        <f t="shared" si="8"/>
        <v>728542.08748370921</v>
      </c>
      <c r="P42" s="43"/>
      <c r="Q42" s="43"/>
    </row>
    <row r="43" spans="1:17" x14ac:dyDescent="0.2">
      <c r="D43" s="17">
        <f>SUM(D40:D42)</f>
        <v>167832</v>
      </c>
      <c r="E43" s="17">
        <f t="shared" ref="E43:O43" si="9">SUM(E40:E42)</f>
        <v>307075.55439673772</v>
      </c>
      <c r="F43" s="17">
        <f t="shared" si="9"/>
        <v>21000</v>
      </c>
      <c r="G43" s="17">
        <f t="shared" si="9"/>
        <v>111374</v>
      </c>
      <c r="H43" s="17">
        <f t="shared" si="9"/>
        <v>102680</v>
      </c>
      <c r="I43" s="17">
        <f t="shared" si="9"/>
        <v>517697.82799999998</v>
      </c>
      <c r="J43" s="17">
        <f t="shared" si="9"/>
        <v>0</v>
      </c>
      <c r="K43" s="17">
        <f t="shared" si="9"/>
        <v>5661</v>
      </c>
      <c r="L43" s="17">
        <f t="shared" si="9"/>
        <v>0</v>
      </c>
      <c r="M43" s="17">
        <f t="shared" si="9"/>
        <v>1065488.3823967376</v>
      </c>
      <c r="N43" s="17">
        <f t="shared" si="9"/>
        <v>105644.19104876107</v>
      </c>
      <c r="O43" s="17">
        <f t="shared" si="9"/>
        <v>1171132.5734454987</v>
      </c>
    </row>
    <row r="44" spans="1:17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 x14ac:dyDescent="0.2">
      <c r="D45" s="17">
        <f>+D11+D18+D24+D30+D36</f>
        <v>167832</v>
      </c>
      <c r="E45" s="17">
        <f>+E11+E18+E24+E30+E36</f>
        <v>307075.55439673772</v>
      </c>
      <c r="F45" s="17">
        <f t="shared" ref="F45:O45" si="10">+F11+F18+F24+F30+F36</f>
        <v>21000</v>
      </c>
      <c r="G45" s="17">
        <f t="shared" si="10"/>
        <v>111374</v>
      </c>
      <c r="H45" s="17">
        <f t="shared" si="10"/>
        <v>102680</v>
      </c>
      <c r="I45" s="17">
        <f t="shared" si="10"/>
        <v>517697.82799999998</v>
      </c>
      <c r="J45" s="17">
        <f t="shared" si="10"/>
        <v>0</v>
      </c>
      <c r="K45" s="17">
        <f t="shared" si="10"/>
        <v>5661</v>
      </c>
      <c r="L45" s="17">
        <f t="shared" si="10"/>
        <v>0</v>
      </c>
      <c r="M45" s="17">
        <f t="shared" si="10"/>
        <v>1065488.3823967376</v>
      </c>
      <c r="N45" s="17">
        <f t="shared" si="10"/>
        <v>105644.19104876107</v>
      </c>
      <c r="O45" s="17">
        <f t="shared" si="10"/>
        <v>1171132.5734454987</v>
      </c>
    </row>
    <row r="46" spans="1:17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 x14ac:dyDescent="0.2">
      <c r="F127" s="2">
        <f>SUM(F118:F126)</f>
        <v>0</v>
      </c>
    </row>
  </sheetData>
  <customSheetViews>
    <customSheetView guid="{6DF61089-79B2-41AA-A0E5-3D263EEF5CE4}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DF69299D-7752-4436-A45D-28F739CEE21B}" showPageBreaks="1" printArea="1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3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 x14ac:dyDescent="0.2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 x14ac:dyDescent="0.25">
      <c r="A1" s="369" t="s">
        <v>697</v>
      </c>
    </row>
    <row r="2" spans="1:8" ht="12" thickBot="1" x14ac:dyDescent="0.25">
      <c r="A2" s="370" t="s">
        <v>595</v>
      </c>
      <c r="B2" s="371" t="s">
        <v>1</v>
      </c>
      <c r="C2" s="372"/>
      <c r="D2" s="372" t="s">
        <v>2</v>
      </c>
      <c r="E2" s="372" t="s">
        <v>596</v>
      </c>
      <c r="F2" s="371" t="s">
        <v>592</v>
      </c>
      <c r="G2" s="371" t="s">
        <v>593</v>
      </c>
      <c r="H2" s="373" t="s">
        <v>594</v>
      </c>
    </row>
    <row r="3" spans="1:8" s="6" customFormat="1" ht="17.45" customHeight="1" x14ac:dyDescent="0.2">
      <c r="A3" s="374" t="s">
        <v>698</v>
      </c>
      <c r="B3" s="375" t="s">
        <v>699</v>
      </c>
      <c r="C3" s="376" t="s">
        <v>700</v>
      </c>
      <c r="D3" s="377">
        <v>9</v>
      </c>
      <c r="E3" s="376" t="s">
        <v>701</v>
      </c>
      <c r="F3" s="378" t="s">
        <v>702</v>
      </c>
      <c r="G3" s="378" t="s">
        <v>703</v>
      </c>
      <c r="H3" s="379" t="s">
        <v>704</v>
      </c>
    </row>
    <row r="4" spans="1:8" ht="13.15" customHeight="1" x14ac:dyDescent="0.2">
      <c r="A4" s="380" t="s">
        <v>705</v>
      </c>
      <c r="B4" s="12" t="s">
        <v>706</v>
      </c>
      <c r="C4" s="19" t="s">
        <v>700</v>
      </c>
      <c r="D4" s="381">
        <v>12</v>
      </c>
      <c r="E4" s="19" t="s">
        <v>701</v>
      </c>
      <c r="F4" s="12" t="s">
        <v>707</v>
      </c>
      <c r="G4" s="12" t="s">
        <v>708</v>
      </c>
      <c r="H4" s="382" t="s">
        <v>709</v>
      </c>
    </row>
    <row r="5" spans="1:8" ht="13.15" customHeight="1" x14ac:dyDescent="0.2">
      <c r="A5" s="380" t="s">
        <v>710</v>
      </c>
      <c r="B5" s="12" t="s">
        <v>711</v>
      </c>
      <c r="C5" s="19" t="s">
        <v>700</v>
      </c>
      <c r="D5" s="383">
        <v>15</v>
      </c>
      <c r="E5" s="19" t="s">
        <v>712</v>
      </c>
      <c r="F5" s="12" t="s">
        <v>713</v>
      </c>
      <c r="G5" s="12" t="s">
        <v>714</v>
      </c>
      <c r="H5" s="382" t="s">
        <v>715</v>
      </c>
    </row>
    <row r="6" spans="1:8" ht="13.15" customHeight="1" x14ac:dyDescent="0.2">
      <c r="A6" s="380" t="s">
        <v>716</v>
      </c>
      <c r="B6" s="12" t="s">
        <v>717</v>
      </c>
      <c r="C6" s="19" t="s">
        <v>718</v>
      </c>
      <c r="D6" s="383">
        <v>16</v>
      </c>
      <c r="E6" s="19" t="s">
        <v>719</v>
      </c>
      <c r="F6" s="12"/>
      <c r="G6" s="53" t="s">
        <v>720</v>
      </c>
      <c r="H6" s="382" t="s">
        <v>721</v>
      </c>
    </row>
    <row r="7" spans="1:8" ht="13.15" customHeight="1" x14ac:dyDescent="0.2">
      <c r="A7" s="380" t="s">
        <v>722</v>
      </c>
      <c r="B7" s="12" t="s">
        <v>39</v>
      </c>
      <c r="C7" s="19" t="s">
        <v>718</v>
      </c>
      <c r="D7" s="384">
        <v>17</v>
      </c>
      <c r="E7" s="19" t="s">
        <v>719</v>
      </c>
      <c r="F7" s="12"/>
      <c r="G7" s="53" t="s">
        <v>723</v>
      </c>
      <c r="H7" s="382" t="s">
        <v>724</v>
      </c>
    </row>
    <row r="8" spans="1:8" ht="13.15" customHeight="1" x14ac:dyDescent="0.2">
      <c r="A8" s="380" t="s">
        <v>725</v>
      </c>
      <c r="B8" s="12" t="s">
        <v>39</v>
      </c>
      <c r="C8" s="19" t="s">
        <v>718</v>
      </c>
      <c r="D8" s="383">
        <v>18</v>
      </c>
      <c r="E8" s="19" t="s">
        <v>719</v>
      </c>
      <c r="F8" s="12"/>
      <c r="G8" s="53" t="s">
        <v>726</v>
      </c>
      <c r="H8" s="382" t="s">
        <v>724</v>
      </c>
    </row>
    <row r="9" spans="1:8" ht="13.15" customHeight="1" x14ac:dyDescent="0.2">
      <c r="A9" s="380" t="s">
        <v>727</v>
      </c>
      <c r="B9" s="12" t="s">
        <v>728</v>
      </c>
      <c r="C9" s="19" t="s">
        <v>718</v>
      </c>
      <c r="D9" s="383">
        <v>19</v>
      </c>
      <c r="E9" s="19" t="s">
        <v>719</v>
      </c>
      <c r="F9" s="12"/>
      <c r="G9" s="12" t="s">
        <v>729</v>
      </c>
      <c r="H9" s="382" t="s">
        <v>730</v>
      </c>
    </row>
    <row r="10" spans="1:8" ht="13.15" customHeight="1" x14ac:dyDescent="0.2">
      <c r="A10" s="380" t="s">
        <v>731</v>
      </c>
      <c r="B10" s="12" t="s">
        <v>732</v>
      </c>
      <c r="C10" s="19" t="s">
        <v>718</v>
      </c>
      <c r="D10" s="381">
        <v>20</v>
      </c>
      <c r="E10" s="19" t="s">
        <v>701</v>
      </c>
      <c r="F10" s="12"/>
      <c r="G10" s="12" t="s">
        <v>733</v>
      </c>
      <c r="H10" s="382" t="s">
        <v>734</v>
      </c>
    </row>
    <row r="11" spans="1:8" ht="13.15" customHeight="1" x14ac:dyDescent="0.2">
      <c r="A11" s="380" t="s">
        <v>735</v>
      </c>
      <c r="B11" s="12" t="s">
        <v>39</v>
      </c>
      <c r="C11" s="19" t="s">
        <v>736</v>
      </c>
      <c r="D11" s="381">
        <v>21</v>
      </c>
      <c r="E11" s="19" t="s">
        <v>701</v>
      </c>
      <c r="F11" s="12"/>
      <c r="G11" s="53" t="s">
        <v>737</v>
      </c>
      <c r="H11" s="382" t="s">
        <v>738</v>
      </c>
    </row>
    <row r="12" spans="1:8" ht="13.15" customHeight="1" x14ac:dyDescent="0.2">
      <c r="A12" s="380" t="s">
        <v>739</v>
      </c>
      <c r="B12" s="12" t="s">
        <v>740</v>
      </c>
      <c r="C12" s="19" t="s">
        <v>741</v>
      </c>
      <c r="D12" s="381">
        <v>22</v>
      </c>
      <c r="E12" s="19" t="s">
        <v>701</v>
      </c>
      <c r="F12" s="12" t="s">
        <v>742</v>
      </c>
      <c r="G12" s="12" t="s">
        <v>743</v>
      </c>
      <c r="H12" s="382" t="s">
        <v>744</v>
      </c>
    </row>
    <row r="13" spans="1:8" ht="13.15" customHeight="1" x14ac:dyDescent="0.2">
      <c r="A13" s="380" t="s">
        <v>745</v>
      </c>
      <c r="B13" s="12" t="s">
        <v>746</v>
      </c>
      <c r="C13" s="19" t="s">
        <v>700</v>
      </c>
      <c r="D13" s="381">
        <v>24</v>
      </c>
      <c r="E13" s="19" t="s">
        <v>701</v>
      </c>
      <c r="F13" s="53" t="s">
        <v>747</v>
      </c>
      <c r="G13" s="12" t="s">
        <v>748</v>
      </c>
      <c r="H13" s="382" t="s">
        <v>749</v>
      </c>
    </row>
    <row r="14" spans="1:8" ht="13.15" customHeight="1" x14ac:dyDescent="0.2">
      <c r="A14" s="380" t="s">
        <v>750</v>
      </c>
      <c r="B14" s="12" t="s">
        <v>706</v>
      </c>
      <c r="C14" s="19" t="s">
        <v>700</v>
      </c>
      <c r="D14" s="381">
        <v>25</v>
      </c>
      <c r="E14" s="19" t="s">
        <v>701</v>
      </c>
      <c r="F14" s="12" t="s">
        <v>751</v>
      </c>
      <c r="G14" s="12" t="s">
        <v>752</v>
      </c>
      <c r="H14" s="382" t="s">
        <v>753</v>
      </c>
    </row>
    <row r="15" spans="1:8" ht="13.15" customHeight="1" x14ac:dyDescent="0.2">
      <c r="A15" s="380" t="s">
        <v>754</v>
      </c>
      <c r="B15" s="12" t="s">
        <v>755</v>
      </c>
      <c r="C15" s="19" t="s">
        <v>756</v>
      </c>
      <c r="D15" s="381">
        <v>27</v>
      </c>
      <c r="E15" s="19" t="s">
        <v>701</v>
      </c>
      <c r="F15" s="12" t="s">
        <v>757</v>
      </c>
      <c r="G15" s="53" t="s">
        <v>758</v>
      </c>
      <c r="H15" s="382" t="s">
        <v>759</v>
      </c>
    </row>
    <row r="16" spans="1:8" x14ac:dyDescent="0.2">
      <c r="A16" s="380" t="s">
        <v>760</v>
      </c>
      <c r="B16" s="12" t="s">
        <v>755</v>
      </c>
      <c r="C16" s="54" t="s">
        <v>756</v>
      </c>
      <c r="D16" s="383">
        <v>28</v>
      </c>
      <c r="E16" s="19" t="s">
        <v>761</v>
      </c>
      <c r="F16" s="12" t="s">
        <v>762</v>
      </c>
      <c r="G16" s="53" t="s">
        <v>763</v>
      </c>
      <c r="H16" s="382" t="s">
        <v>764</v>
      </c>
    </row>
    <row r="17" spans="1:8" ht="13.15" customHeight="1" x14ac:dyDescent="0.2">
      <c r="A17" s="380" t="s">
        <v>765</v>
      </c>
      <c r="B17" s="12" t="s">
        <v>766</v>
      </c>
      <c r="C17" s="19" t="s">
        <v>700</v>
      </c>
      <c r="D17" s="381">
        <v>31</v>
      </c>
      <c r="E17" s="19" t="s">
        <v>701</v>
      </c>
      <c r="F17" s="12" t="s">
        <v>767</v>
      </c>
      <c r="G17" s="12" t="s">
        <v>768</v>
      </c>
      <c r="H17" s="382" t="s">
        <v>769</v>
      </c>
    </row>
    <row r="18" spans="1:8" ht="13.15" customHeight="1" x14ac:dyDescent="0.2">
      <c r="A18" s="380" t="s">
        <v>770</v>
      </c>
      <c r="B18" s="12" t="s">
        <v>766</v>
      </c>
      <c r="C18" s="19" t="s">
        <v>700</v>
      </c>
      <c r="D18" s="383">
        <v>32</v>
      </c>
      <c r="E18" s="19" t="s">
        <v>771</v>
      </c>
      <c r="F18" s="12" t="s">
        <v>772</v>
      </c>
      <c r="G18" s="12" t="s">
        <v>773</v>
      </c>
      <c r="H18" s="382" t="s">
        <v>769</v>
      </c>
    </row>
    <row r="19" spans="1:8" ht="13.15" customHeight="1" x14ac:dyDescent="0.2">
      <c r="A19" s="380" t="s">
        <v>774</v>
      </c>
      <c r="B19" s="12" t="s">
        <v>766</v>
      </c>
      <c r="C19" s="19" t="s">
        <v>700</v>
      </c>
      <c r="D19" s="381">
        <v>34</v>
      </c>
      <c r="E19" s="19" t="s">
        <v>701</v>
      </c>
      <c r="F19" s="12" t="s">
        <v>775</v>
      </c>
      <c r="G19" s="12" t="s">
        <v>776</v>
      </c>
      <c r="H19" s="382" t="s">
        <v>777</v>
      </c>
    </row>
    <row r="20" spans="1:8" ht="13.15" customHeight="1" x14ac:dyDescent="0.2">
      <c r="A20" s="380" t="s">
        <v>778</v>
      </c>
      <c r="B20" s="12" t="s">
        <v>766</v>
      </c>
      <c r="C20" s="19" t="s">
        <v>700</v>
      </c>
      <c r="D20" s="381">
        <v>42</v>
      </c>
      <c r="E20" s="19" t="s">
        <v>701</v>
      </c>
      <c r="F20" s="12" t="s">
        <v>779</v>
      </c>
      <c r="G20" s="12" t="s">
        <v>780</v>
      </c>
      <c r="H20" s="382" t="s">
        <v>781</v>
      </c>
    </row>
    <row r="21" spans="1:8" ht="13.15" customHeight="1" x14ac:dyDescent="0.2">
      <c r="A21" s="380" t="s">
        <v>782</v>
      </c>
      <c r="B21" s="12" t="s">
        <v>783</v>
      </c>
      <c r="C21" s="54" t="s">
        <v>756</v>
      </c>
      <c r="D21" s="383">
        <v>44</v>
      </c>
      <c r="E21" s="19" t="s">
        <v>20</v>
      </c>
      <c r="F21" s="12" t="s">
        <v>784</v>
      </c>
      <c r="G21" s="12" t="s">
        <v>785</v>
      </c>
      <c r="H21" s="382" t="s">
        <v>786</v>
      </c>
    </row>
    <row r="22" spans="1:8" ht="13.15" customHeight="1" x14ac:dyDescent="0.2">
      <c r="A22" s="380" t="s">
        <v>787</v>
      </c>
      <c r="B22" s="12" t="s">
        <v>783</v>
      </c>
      <c r="C22" s="54" t="s">
        <v>756</v>
      </c>
      <c r="D22" s="383">
        <v>45</v>
      </c>
      <c r="E22" s="19" t="s">
        <v>20</v>
      </c>
      <c r="F22" s="53" t="s">
        <v>788</v>
      </c>
      <c r="G22" s="12" t="s">
        <v>789</v>
      </c>
      <c r="H22" s="382" t="s">
        <v>790</v>
      </c>
    </row>
    <row r="23" spans="1:8" x14ac:dyDescent="0.2">
      <c r="A23" s="380" t="s">
        <v>791</v>
      </c>
      <c r="B23" s="12" t="s">
        <v>783</v>
      </c>
      <c r="C23" s="54" t="s">
        <v>756</v>
      </c>
      <c r="D23" s="383">
        <v>46</v>
      </c>
      <c r="E23" s="19" t="s">
        <v>792</v>
      </c>
      <c r="F23" s="53" t="s">
        <v>793</v>
      </c>
      <c r="G23" s="12" t="s">
        <v>794</v>
      </c>
      <c r="H23" s="382" t="s">
        <v>795</v>
      </c>
    </row>
    <row r="24" spans="1:8" ht="13.15" customHeight="1" x14ac:dyDescent="0.2">
      <c r="A24" s="380" t="s">
        <v>796</v>
      </c>
      <c r="B24" s="12" t="s">
        <v>783</v>
      </c>
      <c r="C24" s="54" t="s">
        <v>756</v>
      </c>
      <c r="D24" s="383">
        <v>47</v>
      </c>
      <c r="E24" s="19" t="s">
        <v>20</v>
      </c>
      <c r="F24" s="12" t="s">
        <v>797</v>
      </c>
      <c r="G24" s="12" t="s">
        <v>798</v>
      </c>
      <c r="H24" s="382" t="s">
        <v>799</v>
      </c>
    </row>
    <row r="25" spans="1:8" ht="13.15" customHeight="1" x14ac:dyDescent="0.2">
      <c r="A25" s="380" t="s">
        <v>800</v>
      </c>
      <c r="B25" s="12" t="s">
        <v>783</v>
      </c>
      <c r="C25" s="54" t="s">
        <v>756</v>
      </c>
      <c r="D25" s="383">
        <v>48</v>
      </c>
      <c r="E25" s="19" t="s">
        <v>20</v>
      </c>
      <c r="F25" s="53" t="s">
        <v>801</v>
      </c>
      <c r="G25" s="12" t="s">
        <v>802</v>
      </c>
      <c r="H25" s="382" t="s">
        <v>799</v>
      </c>
    </row>
    <row r="26" spans="1:8" ht="13.15" customHeight="1" x14ac:dyDescent="0.2">
      <c r="A26" s="380" t="s">
        <v>803</v>
      </c>
      <c r="B26" s="12" t="s">
        <v>804</v>
      </c>
      <c r="C26" s="19" t="s">
        <v>805</v>
      </c>
      <c r="D26" s="383">
        <v>49</v>
      </c>
      <c r="E26" s="19" t="s">
        <v>20</v>
      </c>
      <c r="F26" s="12" t="s">
        <v>806</v>
      </c>
      <c r="G26" s="12" t="s">
        <v>807</v>
      </c>
      <c r="H26" s="382" t="s">
        <v>808</v>
      </c>
    </row>
    <row r="27" spans="1:8" ht="13.15" customHeight="1" x14ac:dyDescent="0.2">
      <c r="A27" s="380" t="s">
        <v>809</v>
      </c>
      <c r="B27" s="12" t="s">
        <v>810</v>
      </c>
      <c r="C27" s="54" t="s">
        <v>756</v>
      </c>
      <c r="D27" s="383">
        <v>50</v>
      </c>
      <c r="E27" s="19" t="s">
        <v>20</v>
      </c>
      <c r="F27" s="12" t="s">
        <v>811</v>
      </c>
      <c r="G27" s="12" t="s">
        <v>812</v>
      </c>
      <c r="H27" s="382" t="s">
        <v>813</v>
      </c>
    </row>
    <row r="28" spans="1:8" ht="13.15" customHeight="1" x14ac:dyDescent="0.2">
      <c r="A28" s="380" t="s">
        <v>814</v>
      </c>
      <c r="B28" s="12" t="s">
        <v>815</v>
      </c>
      <c r="C28" s="54" t="s">
        <v>756</v>
      </c>
      <c r="D28" s="385">
        <v>51</v>
      </c>
      <c r="E28" s="19" t="s">
        <v>20</v>
      </c>
      <c r="F28" s="12" t="s">
        <v>816</v>
      </c>
      <c r="G28" s="53" t="s">
        <v>817</v>
      </c>
      <c r="H28" s="382" t="s">
        <v>818</v>
      </c>
    </row>
    <row r="29" spans="1:8" ht="13.15" customHeight="1" x14ac:dyDescent="0.2">
      <c r="A29" s="380" t="s">
        <v>819</v>
      </c>
      <c r="B29" s="12" t="s">
        <v>820</v>
      </c>
      <c r="C29" s="54" t="s">
        <v>756</v>
      </c>
      <c r="D29" s="383">
        <v>52</v>
      </c>
      <c r="E29" s="19" t="s">
        <v>20</v>
      </c>
      <c r="F29" s="12" t="s">
        <v>821</v>
      </c>
      <c r="G29" s="12" t="s">
        <v>822</v>
      </c>
      <c r="H29" s="382" t="s">
        <v>823</v>
      </c>
    </row>
    <row r="30" spans="1:8" ht="13.15" customHeight="1" x14ac:dyDescent="0.2">
      <c r="A30" s="380" t="s">
        <v>824</v>
      </c>
      <c r="B30" s="12" t="s">
        <v>825</v>
      </c>
      <c r="C30" s="54" t="s">
        <v>756</v>
      </c>
      <c r="D30" s="383">
        <v>53</v>
      </c>
      <c r="E30" s="19" t="s">
        <v>20</v>
      </c>
      <c r="F30" s="12" t="s">
        <v>826</v>
      </c>
      <c r="G30" s="53" t="s">
        <v>827</v>
      </c>
      <c r="H30" s="382" t="s">
        <v>828</v>
      </c>
    </row>
    <row r="31" spans="1:8" ht="13.15" customHeight="1" x14ac:dyDescent="0.2">
      <c r="A31" s="380" t="s">
        <v>829</v>
      </c>
      <c r="B31" s="12" t="s">
        <v>92</v>
      </c>
      <c r="C31" s="19" t="s">
        <v>830</v>
      </c>
      <c r="D31" s="384">
        <v>54</v>
      </c>
      <c r="E31" s="19" t="s">
        <v>20</v>
      </c>
      <c r="F31" s="53" t="s">
        <v>831</v>
      </c>
      <c r="G31" s="53" t="s">
        <v>832</v>
      </c>
      <c r="H31" s="382" t="s">
        <v>833</v>
      </c>
    </row>
    <row r="32" spans="1:8" ht="13.15" customHeight="1" x14ac:dyDescent="0.2">
      <c r="A32" s="380" t="s">
        <v>834</v>
      </c>
      <c r="B32" s="12" t="s">
        <v>835</v>
      </c>
      <c r="C32" s="19" t="s">
        <v>805</v>
      </c>
      <c r="D32" s="383">
        <v>55</v>
      </c>
      <c r="E32" s="19" t="s">
        <v>20</v>
      </c>
      <c r="F32" s="12" t="s">
        <v>836</v>
      </c>
      <c r="G32" s="12" t="s">
        <v>837</v>
      </c>
      <c r="H32" s="382" t="s">
        <v>838</v>
      </c>
    </row>
    <row r="33" spans="1:8" ht="13.15" customHeight="1" x14ac:dyDescent="0.2">
      <c r="A33" s="380" t="s">
        <v>839</v>
      </c>
      <c r="B33" s="12" t="s">
        <v>717</v>
      </c>
      <c r="C33" s="19" t="s">
        <v>718</v>
      </c>
      <c r="D33" s="384">
        <v>56</v>
      </c>
      <c r="E33" s="19" t="s">
        <v>20</v>
      </c>
      <c r="F33" s="12"/>
      <c r="G33" s="53" t="s">
        <v>840</v>
      </c>
      <c r="H33" s="382" t="s">
        <v>841</v>
      </c>
    </row>
    <row r="34" spans="1:8" ht="13.15" customHeight="1" x14ac:dyDescent="0.2">
      <c r="A34" s="380" t="s">
        <v>842</v>
      </c>
      <c r="B34" s="12" t="s">
        <v>717</v>
      </c>
      <c r="C34" s="19" t="s">
        <v>718</v>
      </c>
      <c r="D34" s="384">
        <v>57</v>
      </c>
      <c r="E34" s="19" t="s">
        <v>20</v>
      </c>
      <c r="F34" s="12"/>
      <c r="G34" s="53" t="s">
        <v>843</v>
      </c>
      <c r="H34" s="382" t="s">
        <v>844</v>
      </c>
    </row>
    <row r="35" spans="1:8" ht="13.15" customHeight="1" x14ac:dyDescent="0.2">
      <c r="A35" s="380" t="s">
        <v>845</v>
      </c>
      <c r="B35" s="12" t="s">
        <v>39</v>
      </c>
      <c r="C35" s="19" t="s">
        <v>718</v>
      </c>
      <c r="D35" s="384">
        <v>58</v>
      </c>
      <c r="E35" s="19" t="s">
        <v>20</v>
      </c>
      <c r="F35" s="12"/>
      <c r="G35" s="53" t="s">
        <v>846</v>
      </c>
      <c r="H35" s="382" t="s">
        <v>847</v>
      </c>
    </row>
    <row r="36" spans="1:8" ht="13.15" customHeight="1" x14ac:dyDescent="0.2">
      <c r="A36" s="380" t="s">
        <v>848</v>
      </c>
      <c r="B36" s="12" t="s">
        <v>849</v>
      </c>
      <c r="C36" s="19" t="s">
        <v>718</v>
      </c>
      <c r="D36" s="384">
        <v>59</v>
      </c>
      <c r="E36" s="19" t="s">
        <v>20</v>
      </c>
      <c r="F36" s="12"/>
      <c r="G36" s="12" t="s">
        <v>850</v>
      </c>
      <c r="H36" s="382" t="s">
        <v>851</v>
      </c>
    </row>
    <row r="37" spans="1:8" ht="13.15" customHeight="1" x14ac:dyDescent="0.2">
      <c r="A37" s="380" t="s">
        <v>852</v>
      </c>
      <c r="B37" s="12" t="s">
        <v>728</v>
      </c>
      <c r="C37" s="19" t="s">
        <v>718</v>
      </c>
      <c r="D37" s="384">
        <v>60</v>
      </c>
      <c r="E37" s="19" t="s">
        <v>20</v>
      </c>
      <c r="F37" s="12"/>
      <c r="G37" s="12" t="s">
        <v>853</v>
      </c>
      <c r="H37" s="382" t="s">
        <v>854</v>
      </c>
    </row>
    <row r="38" spans="1:8" ht="13.15" customHeight="1" x14ac:dyDescent="0.2">
      <c r="A38" s="380" t="s">
        <v>855</v>
      </c>
      <c r="B38" s="12" t="s">
        <v>856</v>
      </c>
      <c r="C38" s="19" t="s">
        <v>700</v>
      </c>
      <c r="D38" s="381">
        <v>64</v>
      </c>
      <c r="E38" s="19" t="s">
        <v>701</v>
      </c>
      <c r="F38" s="53" t="s">
        <v>857</v>
      </c>
      <c r="G38" s="12" t="s">
        <v>858</v>
      </c>
      <c r="H38" s="382" t="s">
        <v>859</v>
      </c>
    </row>
    <row r="39" spans="1:8" ht="13.15" customHeight="1" x14ac:dyDescent="0.2">
      <c r="A39" s="380" t="s">
        <v>860</v>
      </c>
      <c r="B39" s="12" t="s">
        <v>861</v>
      </c>
      <c r="C39" s="19" t="s">
        <v>700</v>
      </c>
      <c r="D39" s="381">
        <v>65</v>
      </c>
      <c r="E39" s="19" t="s">
        <v>701</v>
      </c>
      <c r="F39" s="12" t="s">
        <v>862</v>
      </c>
      <c r="G39" s="12" t="s">
        <v>863</v>
      </c>
      <c r="H39" s="382" t="s">
        <v>864</v>
      </c>
    </row>
    <row r="40" spans="1:8" ht="13.15" customHeight="1" x14ac:dyDescent="0.2">
      <c r="A40" s="380" t="s">
        <v>865</v>
      </c>
      <c r="B40" s="12" t="s">
        <v>861</v>
      </c>
      <c r="C40" s="19" t="s">
        <v>700</v>
      </c>
      <c r="D40" s="381">
        <v>66</v>
      </c>
      <c r="E40" s="19" t="s">
        <v>701</v>
      </c>
      <c r="F40" s="53" t="s">
        <v>866</v>
      </c>
      <c r="G40" s="12" t="s">
        <v>867</v>
      </c>
      <c r="H40" s="382" t="s">
        <v>868</v>
      </c>
    </row>
    <row r="41" spans="1:8" ht="13.15" customHeight="1" x14ac:dyDescent="0.2">
      <c r="A41" s="380" t="s">
        <v>869</v>
      </c>
      <c r="B41" s="12" t="s">
        <v>706</v>
      </c>
      <c r="C41" s="19" t="s">
        <v>700</v>
      </c>
      <c r="D41" s="381">
        <v>67</v>
      </c>
      <c r="E41" s="19" t="s">
        <v>701</v>
      </c>
      <c r="F41" s="12" t="s">
        <v>870</v>
      </c>
      <c r="G41" s="12" t="s">
        <v>871</v>
      </c>
      <c r="H41" s="382" t="s">
        <v>872</v>
      </c>
    </row>
    <row r="42" spans="1:8" ht="13.15" customHeight="1" x14ac:dyDescent="0.2">
      <c r="A42" s="380" t="s">
        <v>873</v>
      </c>
      <c r="B42" s="12" t="s">
        <v>804</v>
      </c>
      <c r="C42" s="19" t="s">
        <v>805</v>
      </c>
      <c r="D42" s="383">
        <v>72</v>
      </c>
      <c r="E42" s="19" t="s">
        <v>21</v>
      </c>
      <c r="F42" s="12" t="s">
        <v>874</v>
      </c>
      <c r="G42" s="12" t="s">
        <v>875</v>
      </c>
      <c r="H42" s="382" t="s">
        <v>876</v>
      </c>
    </row>
    <row r="43" spans="1:8" x14ac:dyDescent="0.2">
      <c r="A43" s="380" t="s">
        <v>877</v>
      </c>
      <c r="B43" s="12" t="s">
        <v>804</v>
      </c>
      <c r="C43" s="19" t="s">
        <v>805</v>
      </c>
      <c r="D43" s="383">
        <v>73</v>
      </c>
      <c r="E43" s="19" t="s">
        <v>792</v>
      </c>
      <c r="F43" s="12" t="s">
        <v>878</v>
      </c>
      <c r="G43" s="12" t="s">
        <v>879</v>
      </c>
      <c r="H43" s="382" t="s">
        <v>876</v>
      </c>
    </row>
    <row r="44" spans="1:8" ht="13.15" customHeight="1" x14ac:dyDescent="0.2">
      <c r="A44" s="380" t="s">
        <v>880</v>
      </c>
      <c r="B44" s="12" t="s">
        <v>881</v>
      </c>
      <c r="C44" s="19" t="s">
        <v>805</v>
      </c>
      <c r="D44" s="383">
        <v>74</v>
      </c>
      <c r="E44" s="19" t="s">
        <v>21</v>
      </c>
      <c r="F44" s="12" t="s">
        <v>882</v>
      </c>
      <c r="G44" s="12" t="s">
        <v>883</v>
      </c>
      <c r="H44" s="382" t="s">
        <v>884</v>
      </c>
    </row>
    <row r="45" spans="1:8" ht="13.15" customHeight="1" x14ac:dyDescent="0.2">
      <c r="A45" s="380" t="s">
        <v>885</v>
      </c>
      <c r="B45" s="12" t="s">
        <v>881</v>
      </c>
      <c r="C45" s="19" t="s">
        <v>805</v>
      </c>
      <c r="D45" s="383">
        <v>75</v>
      </c>
      <c r="E45" s="19" t="s">
        <v>21</v>
      </c>
      <c r="F45" s="12" t="s">
        <v>886</v>
      </c>
      <c r="G45" s="12" t="s">
        <v>887</v>
      </c>
      <c r="H45" s="382" t="s">
        <v>888</v>
      </c>
    </row>
    <row r="46" spans="1:8" ht="13.15" customHeight="1" x14ac:dyDescent="0.2">
      <c r="A46" s="380" t="s">
        <v>889</v>
      </c>
      <c r="B46" s="12" t="s">
        <v>890</v>
      </c>
      <c r="C46" s="19" t="s">
        <v>741</v>
      </c>
      <c r="D46" s="381">
        <v>76</v>
      </c>
      <c r="E46" s="19" t="s">
        <v>701</v>
      </c>
      <c r="F46" s="12" t="s">
        <v>891</v>
      </c>
      <c r="G46" s="53" t="s">
        <v>892</v>
      </c>
      <c r="H46" s="382" t="s">
        <v>893</v>
      </c>
    </row>
    <row r="47" spans="1:8" ht="13.15" customHeight="1" x14ac:dyDescent="0.2">
      <c r="A47" s="380" t="s">
        <v>894</v>
      </c>
      <c r="B47" s="12" t="s">
        <v>31</v>
      </c>
      <c r="C47" s="19" t="s">
        <v>741</v>
      </c>
      <c r="D47" s="384">
        <v>77</v>
      </c>
      <c r="E47" s="19" t="s">
        <v>21</v>
      </c>
      <c r="F47" s="12" t="s">
        <v>895</v>
      </c>
      <c r="G47" s="12" t="s">
        <v>896</v>
      </c>
      <c r="H47" s="382" t="s">
        <v>897</v>
      </c>
    </row>
    <row r="48" spans="1:8" ht="13.15" customHeight="1" x14ac:dyDescent="0.2">
      <c r="A48" s="380" t="s">
        <v>898</v>
      </c>
      <c r="B48" s="12" t="s">
        <v>31</v>
      </c>
      <c r="C48" s="19" t="s">
        <v>741</v>
      </c>
      <c r="D48" s="384">
        <v>78</v>
      </c>
      <c r="E48" s="19" t="s">
        <v>792</v>
      </c>
      <c r="F48" s="12" t="s">
        <v>899</v>
      </c>
      <c r="G48" s="12" t="s">
        <v>900</v>
      </c>
      <c r="H48" s="382" t="s">
        <v>901</v>
      </c>
    </row>
    <row r="49" spans="1:8" ht="13.15" customHeight="1" x14ac:dyDescent="0.2">
      <c r="A49" s="380" t="s">
        <v>902</v>
      </c>
      <c r="B49" s="12" t="s">
        <v>903</v>
      </c>
      <c r="C49" s="19" t="s">
        <v>741</v>
      </c>
      <c r="D49" s="381">
        <v>80</v>
      </c>
      <c r="E49" s="19" t="s">
        <v>701</v>
      </c>
      <c r="F49" s="12" t="s">
        <v>904</v>
      </c>
      <c r="G49" s="12" t="s">
        <v>905</v>
      </c>
      <c r="H49" s="382" t="s">
        <v>906</v>
      </c>
    </row>
    <row r="50" spans="1:8" ht="13.15" customHeight="1" x14ac:dyDescent="0.2">
      <c r="A50" s="380" t="s">
        <v>907</v>
      </c>
      <c r="B50" s="12" t="s">
        <v>93</v>
      </c>
      <c r="C50" s="19" t="s">
        <v>741</v>
      </c>
      <c r="D50" s="384">
        <v>81</v>
      </c>
      <c r="E50" s="19" t="s">
        <v>21</v>
      </c>
      <c r="F50" s="12" t="s">
        <v>908</v>
      </c>
      <c r="G50" s="53" t="s">
        <v>909</v>
      </c>
      <c r="H50" s="382" t="s">
        <v>910</v>
      </c>
    </row>
    <row r="51" spans="1:8" ht="13.15" customHeight="1" x14ac:dyDescent="0.2">
      <c r="A51" s="380" t="s">
        <v>911</v>
      </c>
      <c r="B51" s="12" t="s">
        <v>31</v>
      </c>
      <c r="C51" s="19" t="s">
        <v>741</v>
      </c>
      <c r="D51" s="384">
        <v>82</v>
      </c>
      <c r="E51" s="19" t="s">
        <v>21</v>
      </c>
      <c r="F51" s="12" t="s">
        <v>912</v>
      </c>
      <c r="G51" s="12" t="s">
        <v>913</v>
      </c>
      <c r="H51" s="382" t="s">
        <v>914</v>
      </c>
    </row>
    <row r="52" spans="1:8" ht="13.15" customHeight="1" x14ac:dyDescent="0.2">
      <c r="A52" s="380" t="s">
        <v>915</v>
      </c>
      <c r="B52" s="12" t="s">
        <v>890</v>
      </c>
      <c r="C52" s="19" t="s">
        <v>741</v>
      </c>
      <c r="D52" s="384">
        <v>83</v>
      </c>
      <c r="E52" s="19" t="s">
        <v>792</v>
      </c>
      <c r="F52" s="12" t="s">
        <v>916</v>
      </c>
      <c r="G52" s="12" t="s">
        <v>917</v>
      </c>
      <c r="H52" s="382" t="s">
        <v>914</v>
      </c>
    </row>
    <row r="53" spans="1:8" ht="13.15" customHeight="1" x14ac:dyDescent="0.2">
      <c r="A53" s="380" t="s">
        <v>918</v>
      </c>
      <c r="B53" s="12" t="s">
        <v>890</v>
      </c>
      <c r="C53" s="19" t="s">
        <v>741</v>
      </c>
      <c r="D53" s="381">
        <v>84</v>
      </c>
      <c r="E53" s="19" t="s">
        <v>701</v>
      </c>
      <c r="F53" s="53" t="s">
        <v>919</v>
      </c>
      <c r="G53" s="12" t="s">
        <v>920</v>
      </c>
      <c r="H53" s="382" t="s">
        <v>921</v>
      </c>
    </row>
    <row r="54" spans="1:8" ht="13.15" customHeight="1" x14ac:dyDescent="0.2">
      <c r="A54" s="380" t="s">
        <v>922</v>
      </c>
      <c r="B54" s="12" t="s">
        <v>923</v>
      </c>
      <c r="C54" s="19" t="s">
        <v>736</v>
      </c>
      <c r="D54" s="384">
        <v>86</v>
      </c>
      <c r="E54" s="19" t="s">
        <v>21</v>
      </c>
      <c r="F54" s="12"/>
      <c r="G54" s="53" t="s">
        <v>924</v>
      </c>
      <c r="H54" s="382" t="s">
        <v>925</v>
      </c>
    </row>
    <row r="55" spans="1:8" ht="13.15" customHeight="1" x14ac:dyDescent="0.2">
      <c r="A55" s="380" t="s">
        <v>926</v>
      </c>
      <c r="B55" s="12" t="s">
        <v>717</v>
      </c>
      <c r="C55" s="19" t="s">
        <v>718</v>
      </c>
      <c r="D55" s="384">
        <v>87</v>
      </c>
      <c r="E55" s="19" t="s">
        <v>21</v>
      </c>
      <c r="F55" s="12"/>
      <c r="G55" s="53" t="s">
        <v>927</v>
      </c>
      <c r="H55" s="382" t="s">
        <v>928</v>
      </c>
    </row>
    <row r="56" spans="1:8" ht="13.15" customHeight="1" x14ac:dyDescent="0.2">
      <c r="A56" s="386" t="s">
        <v>929</v>
      </c>
      <c r="B56" s="61" t="s">
        <v>930</v>
      </c>
      <c r="C56" s="54" t="s">
        <v>756</v>
      </c>
      <c r="D56" s="383">
        <v>88</v>
      </c>
      <c r="E56" s="54" t="s">
        <v>21</v>
      </c>
      <c r="F56" s="61"/>
      <c r="G56" s="134" t="s">
        <v>931</v>
      </c>
      <c r="H56" s="387" t="s">
        <v>932</v>
      </c>
    </row>
    <row r="57" spans="1:8" ht="13.15" customHeight="1" x14ac:dyDescent="0.2">
      <c r="A57" s="380" t="s">
        <v>933</v>
      </c>
      <c r="B57" s="12" t="s">
        <v>934</v>
      </c>
      <c r="C57" s="19" t="s">
        <v>718</v>
      </c>
      <c r="D57" s="384">
        <v>89</v>
      </c>
      <c r="E57" s="19" t="s">
        <v>21</v>
      </c>
      <c r="F57" s="12"/>
      <c r="G57" s="53" t="s">
        <v>935</v>
      </c>
      <c r="H57" s="382" t="s">
        <v>936</v>
      </c>
    </row>
    <row r="58" spans="1:8" ht="13.15" customHeight="1" x14ac:dyDescent="0.2">
      <c r="A58" s="380" t="s">
        <v>937</v>
      </c>
      <c r="B58" s="12" t="s">
        <v>934</v>
      </c>
      <c r="C58" s="19" t="s">
        <v>718</v>
      </c>
      <c r="D58" s="384">
        <v>90</v>
      </c>
      <c r="E58" s="19" t="s">
        <v>21</v>
      </c>
      <c r="F58" s="12"/>
      <c r="G58" s="53" t="s">
        <v>938</v>
      </c>
      <c r="H58" s="382" t="s">
        <v>939</v>
      </c>
    </row>
    <row r="59" spans="1:8" ht="13.15" customHeight="1" x14ac:dyDescent="0.2">
      <c r="A59" s="380" t="s">
        <v>940</v>
      </c>
      <c r="B59" s="12" t="s">
        <v>934</v>
      </c>
      <c r="C59" s="19" t="s">
        <v>736</v>
      </c>
      <c r="D59" s="384">
        <v>91</v>
      </c>
      <c r="E59" s="19" t="s">
        <v>21</v>
      </c>
      <c r="F59" s="12"/>
      <c r="G59" s="53" t="s">
        <v>938</v>
      </c>
      <c r="H59" s="382" t="s">
        <v>941</v>
      </c>
    </row>
    <row r="60" spans="1:8" ht="13.15" customHeight="1" x14ac:dyDescent="0.2">
      <c r="A60" s="380" t="s">
        <v>942</v>
      </c>
      <c r="B60" s="12" t="s">
        <v>943</v>
      </c>
      <c r="C60" s="19" t="s">
        <v>718</v>
      </c>
      <c r="D60" s="381">
        <v>92</v>
      </c>
      <c r="E60" s="19" t="s">
        <v>701</v>
      </c>
      <c r="F60" s="12"/>
      <c r="G60" s="53" t="s">
        <v>944</v>
      </c>
      <c r="H60" s="382" t="s">
        <v>906</v>
      </c>
    </row>
    <row r="61" spans="1:8" ht="13.15" customHeight="1" x14ac:dyDescent="0.2">
      <c r="A61" s="380" t="s">
        <v>945</v>
      </c>
      <c r="B61" s="12" t="s">
        <v>930</v>
      </c>
      <c r="C61" s="19" t="s">
        <v>718</v>
      </c>
      <c r="D61" s="384">
        <v>94</v>
      </c>
      <c r="E61" s="19" t="s">
        <v>792</v>
      </c>
      <c r="F61" s="12"/>
      <c r="G61" s="53" t="s">
        <v>946</v>
      </c>
      <c r="H61" s="382" t="s">
        <v>947</v>
      </c>
    </row>
    <row r="62" spans="1:8" ht="13.15" customHeight="1" x14ac:dyDescent="0.2">
      <c r="A62" s="380" t="s">
        <v>948</v>
      </c>
      <c r="B62" s="12" t="s">
        <v>949</v>
      </c>
      <c r="C62" s="19" t="s">
        <v>718</v>
      </c>
      <c r="D62" s="381">
        <v>95</v>
      </c>
      <c r="E62" s="19" t="s">
        <v>701</v>
      </c>
      <c r="F62" s="12"/>
      <c r="G62" s="12" t="s">
        <v>950</v>
      </c>
      <c r="H62" s="382" t="s">
        <v>951</v>
      </c>
    </row>
    <row r="63" spans="1:8" ht="13.15" customHeight="1" x14ac:dyDescent="0.2">
      <c r="A63" s="380" t="s">
        <v>952</v>
      </c>
      <c r="B63" s="12" t="s">
        <v>39</v>
      </c>
      <c r="C63" s="19" t="s">
        <v>718</v>
      </c>
      <c r="D63" s="384">
        <v>97</v>
      </c>
      <c r="E63" s="19" t="s">
        <v>792</v>
      </c>
      <c r="F63" s="12"/>
      <c r="G63" s="53" t="s">
        <v>953</v>
      </c>
      <c r="H63" s="382" t="s">
        <v>954</v>
      </c>
    </row>
    <row r="64" spans="1:8" ht="13.15" customHeight="1" x14ac:dyDescent="0.2">
      <c r="A64" s="380" t="s">
        <v>955</v>
      </c>
      <c r="B64" s="12" t="s">
        <v>956</v>
      </c>
      <c r="C64" s="19" t="s">
        <v>718</v>
      </c>
      <c r="D64" s="384">
        <v>98</v>
      </c>
      <c r="E64" s="19" t="s">
        <v>792</v>
      </c>
      <c r="F64" s="12"/>
      <c r="G64" s="12" t="s">
        <v>957</v>
      </c>
      <c r="H64" s="382" t="s">
        <v>958</v>
      </c>
    </row>
    <row r="65" spans="1:8" ht="13.15" customHeight="1" x14ac:dyDescent="0.2">
      <c r="A65" s="380" t="s">
        <v>959</v>
      </c>
      <c r="B65" s="12" t="s">
        <v>92</v>
      </c>
      <c r="C65" s="19" t="s">
        <v>830</v>
      </c>
      <c r="D65" s="384">
        <v>99</v>
      </c>
      <c r="E65" s="19" t="s">
        <v>21</v>
      </c>
      <c r="F65" s="53" t="s">
        <v>960</v>
      </c>
      <c r="G65" s="53" t="s">
        <v>961</v>
      </c>
      <c r="H65" s="382" t="s">
        <v>962</v>
      </c>
    </row>
    <row r="66" spans="1:8" ht="13.15" customHeight="1" x14ac:dyDescent="0.2">
      <c r="A66" s="380" t="s">
        <v>963</v>
      </c>
      <c r="B66" s="12" t="s">
        <v>964</v>
      </c>
      <c r="C66" s="19" t="s">
        <v>718</v>
      </c>
      <c r="D66" s="384">
        <v>100</v>
      </c>
      <c r="E66" s="19" t="s">
        <v>21</v>
      </c>
      <c r="F66" s="12"/>
      <c r="G66" s="53" t="s">
        <v>927</v>
      </c>
      <c r="H66" s="382" t="s">
        <v>928</v>
      </c>
    </row>
    <row r="67" spans="1:8" ht="13.15" customHeight="1" x14ac:dyDescent="0.2">
      <c r="A67" s="380" t="s">
        <v>965</v>
      </c>
      <c r="B67" s="12" t="s">
        <v>39</v>
      </c>
      <c r="C67" s="19" t="s">
        <v>718</v>
      </c>
      <c r="D67" s="384">
        <v>101</v>
      </c>
      <c r="E67" s="19" t="s">
        <v>21</v>
      </c>
      <c r="F67" s="12"/>
      <c r="G67" s="53" t="s">
        <v>966</v>
      </c>
      <c r="H67" s="382" t="s">
        <v>967</v>
      </c>
    </row>
    <row r="68" spans="1:8" ht="13.15" customHeight="1" x14ac:dyDescent="0.2">
      <c r="A68" s="386" t="s">
        <v>968</v>
      </c>
      <c r="B68" s="61" t="s">
        <v>87</v>
      </c>
      <c r="C68" s="54" t="s">
        <v>969</v>
      </c>
      <c r="D68" s="384">
        <v>102</v>
      </c>
      <c r="E68" s="54" t="s">
        <v>21</v>
      </c>
      <c r="F68" s="134" t="s">
        <v>970</v>
      </c>
      <c r="G68" s="134" t="s">
        <v>971</v>
      </c>
      <c r="H68" s="387" t="s">
        <v>972</v>
      </c>
    </row>
    <row r="69" spans="1:8" ht="13.15" customHeight="1" x14ac:dyDescent="0.2">
      <c r="A69" s="386" t="s">
        <v>973</v>
      </c>
      <c r="B69" s="61" t="s">
        <v>88</v>
      </c>
      <c r="C69" s="54" t="s">
        <v>969</v>
      </c>
      <c r="D69" s="384">
        <v>103</v>
      </c>
      <c r="E69" s="54" t="s">
        <v>21</v>
      </c>
      <c r="F69" s="61" t="s">
        <v>974</v>
      </c>
      <c r="G69" s="134" t="s">
        <v>975</v>
      </c>
      <c r="H69" s="387" t="s">
        <v>976</v>
      </c>
    </row>
    <row r="70" spans="1:8" ht="13.15" customHeight="1" x14ac:dyDescent="0.2">
      <c r="A70" s="380" t="s">
        <v>977</v>
      </c>
      <c r="B70" s="12" t="s">
        <v>978</v>
      </c>
      <c r="C70" s="19" t="s">
        <v>718</v>
      </c>
      <c r="D70" s="384">
        <v>104</v>
      </c>
      <c r="E70" s="19" t="s">
        <v>21</v>
      </c>
      <c r="F70" s="12"/>
      <c r="G70" s="53" t="s">
        <v>979</v>
      </c>
      <c r="H70" s="382" t="s">
        <v>980</v>
      </c>
    </row>
    <row r="71" spans="1:8" ht="13.15" customHeight="1" x14ac:dyDescent="0.2">
      <c r="A71" s="380" t="s">
        <v>981</v>
      </c>
      <c r="B71" s="12" t="s">
        <v>982</v>
      </c>
      <c r="C71" s="19" t="s">
        <v>718</v>
      </c>
      <c r="D71" s="384">
        <v>105</v>
      </c>
      <c r="E71" s="19" t="s">
        <v>21</v>
      </c>
      <c r="F71" s="12"/>
      <c r="G71" s="12" t="s">
        <v>983</v>
      </c>
      <c r="H71" s="382" t="s">
        <v>984</v>
      </c>
    </row>
    <row r="72" spans="1:8" ht="13.15" customHeight="1" x14ac:dyDescent="0.2">
      <c r="A72" s="380" t="s">
        <v>985</v>
      </c>
      <c r="B72" s="12" t="s">
        <v>986</v>
      </c>
      <c r="C72" s="19" t="s">
        <v>718</v>
      </c>
      <c r="D72" s="384">
        <v>106</v>
      </c>
      <c r="E72" s="19" t="s">
        <v>21</v>
      </c>
      <c r="F72" s="12"/>
      <c r="G72" s="12" t="s">
        <v>987</v>
      </c>
      <c r="H72" s="382" t="s">
        <v>988</v>
      </c>
    </row>
    <row r="73" spans="1:8" ht="13.15" customHeight="1" x14ac:dyDescent="0.2">
      <c r="A73" s="386" t="s">
        <v>989</v>
      </c>
      <c r="B73" s="61" t="s">
        <v>89</v>
      </c>
      <c r="C73" s="54" t="s">
        <v>969</v>
      </c>
      <c r="D73" s="384">
        <v>108</v>
      </c>
      <c r="E73" s="54" t="s">
        <v>21</v>
      </c>
      <c r="F73" s="61" t="s">
        <v>990</v>
      </c>
      <c r="G73" s="134" t="s">
        <v>991</v>
      </c>
      <c r="H73" s="387" t="s">
        <v>992</v>
      </c>
    </row>
    <row r="74" spans="1:8" ht="13.15" customHeight="1" x14ac:dyDescent="0.2">
      <c r="A74" s="386" t="s">
        <v>993</v>
      </c>
      <c r="B74" s="61" t="s">
        <v>90</v>
      </c>
      <c r="C74" s="54" t="s">
        <v>969</v>
      </c>
      <c r="D74" s="384">
        <v>109</v>
      </c>
      <c r="E74" s="54" t="s">
        <v>21</v>
      </c>
      <c r="F74" s="134" t="s">
        <v>994</v>
      </c>
      <c r="G74" s="61" t="s">
        <v>995</v>
      </c>
      <c r="H74" s="387" t="s">
        <v>996</v>
      </c>
    </row>
    <row r="75" spans="1:8" x14ac:dyDescent="0.2">
      <c r="A75" s="386" t="s">
        <v>997</v>
      </c>
      <c r="B75" s="61" t="s">
        <v>998</v>
      </c>
      <c r="C75" s="54" t="s">
        <v>756</v>
      </c>
      <c r="D75" s="383">
        <v>110</v>
      </c>
      <c r="E75" s="54" t="s">
        <v>21</v>
      </c>
      <c r="F75" s="61" t="s">
        <v>999</v>
      </c>
      <c r="G75" s="61" t="s">
        <v>1000</v>
      </c>
      <c r="H75" s="387" t="s">
        <v>1001</v>
      </c>
    </row>
    <row r="76" spans="1:8" ht="13.15" customHeight="1" x14ac:dyDescent="0.2">
      <c r="A76" s="380" t="s">
        <v>1002</v>
      </c>
      <c r="B76" s="12" t="s">
        <v>815</v>
      </c>
      <c r="C76" s="19"/>
      <c r="D76" s="381">
        <v>111</v>
      </c>
      <c r="E76" s="19" t="s">
        <v>701</v>
      </c>
      <c r="F76" s="53" t="s">
        <v>1003</v>
      </c>
      <c r="G76" s="12" t="s">
        <v>1004</v>
      </c>
      <c r="H76" s="382" t="s">
        <v>1005</v>
      </c>
    </row>
    <row r="77" spans="1:8" ht="13.15" customHeight="1" x14ac:dyDescent="0.2">
      <c r="A77" s="380" t="s">
        <v>1006</v>
      </c>
      <c r="B77" s="12" t="s">
        <v>783</v>
      </c>
      <c r="C77" s="19"/>
      <c r="D77" s="381">
        <v>114</v>
      </c>
      <c r="E77" s="19" t="s">
        <v>701</v>
      </c>
      <c r="F77" s="12" t="s">
        <v>1007</v>
      </c>
      <c r="G77" s="53" t="s">
        <v>1008</v>
      </c>
      <c r="H77" s="382" t="s">
        <v>1009</v>
      </c>
    </row>
    <row r="78" spans="1:8" x14ac:dyDescent="0.2">
      <c r="A78" s="380" t="s">
        <v>1010</v>
      </c>
      <c r="B78" s="12" t="s">
        <v>783</v>
      </c>
      <c r="C78" s="54" t="s">
        <v>756</v>
      </c>
      <c r="D78" s="383">
        <v>115</v>
      </c>
      <c r="E78" s="19" t="s">
        <v>21</v>
      </c>
      <c r="F78" s="12" t="s">
        <v>1011</v>
      </c>
      <c r="G78" s="12" t="s">
        <v>1012</v>
      </c>
      <c r="H78" s="382" t="s">
        <v>1013</v>
      </c>
    </row>
    <row r="79" spans="1:8" x14ac:dyDescent="0.2">
      <c r="A79" s="380" t="s">
        <v>1014</v>
      </c>
      <c r="B79" s="12" t="s">
        <v>881</v>
      </c>
      <c r="C79" s="19" t="s">
        <v>805</v>
      </c>
      <c r="D79" s="383">
        <v>116</v>
      </c>
      <c r="E79" s="19" t="s">
        <v>792</v>
      </c>
      <c r="F79" s="12" t="s">
        <v>1015</v>
      </c>
      <c r="G79" s="12" t="s">
        <v>1016</v>
      </c>
      <c r="H79" s="382" t="s">
        <v>838</v>
      </c>
    </row>
    <row r="80" spans="1:8" ht="13.9" customHeight="1" x14ac:dyDescent="0.2">
      <c r="A80" s="386" t="s">
        <v>1017</v>
      </c>
      <c r="B80" s="61" t="s">
        <v>25</v>
      </c>
      <c r="C80" s="54" t="s">
        <v>969</v>
      </c>
      <c r="D80" s="384">
        <v>117</v>
      </c>
      <c r="E80" s="54" t="s">
        <v>21</v>
      </c>
      <c r="F80" s="61" t="s">
        <v>1018</v>
      </c>
      <c r="G80" s="134" t="s">
        <v>1019</v>
      </c>
      <c r="H80" s="387" t="s">
        <v>1020</v>
      </c>
    </row>
    <row r="81" spans="1:8" ht="13.15" customHeight="1" x14ac:dyDescent="0.2">
      <c r="A81" s="386" t="s">
        <v>1021</v>
      </c>
      <c r="B81" s="61" t="s">
        <v>25</v>
      </c>
      <c r="C81" s="54" t="s">
        <v>969</v>
      </c>
      <c r="D81" s="384">
        <v>118</v>
      </c>
      <c r="E81" s="54" t="s">
        <v>21</v>
      </c>
      <c r="F81" s="61" t="s">
        <v>1022</v>
      </c>
      <c r="G81" s="134" t="s">
        <v>1023</v>
      </c>
      <c r="H81" s="387" t="s">
        <v>1020</v>
      </c>
    </row>
    <row r="82" spans="1:8" ht="13.15" customHeight="1" x14ac:dyDescent="0.2">
      <c r="A82" s="386" t="s">
        <v>1024</v>
      </c>
      <c r="B82" s="61" t="s">
        <v>25</v>
      </c>
      <c r="C82" s="54" t="s">
        <v>969</v>
      </c>
      <c r="D82" s="384">
        <v>119</v>
      </c>
      <c r="E82" s="54" t="s">
        <v>21</v>
      </c>
      <c r="F82" s="61" t="s">
        <v>1025</v>
      </c>
      <c r="G82" s="134" t="s">
        <v>1026</v>
      </c>
      <c r="H82" s="387" t="s">
        <v>1020</v>
      </c>
    </row>
    <row r="83" spans="1:8" ht="13.15" customHeight="1" x14ac:dyDescent="0.2">
      <c r="A83" s="386" t="s">
        <v>1027</v>
      </c>
      <c r="B83" s="61" t="s">
        <v>91</v>
      </c>
      <c r="C83" s="54" t="s">
        <v>969</v>
      </c>
      <c r="D83" s="384">
        <v>120</v>
      </c>
      <c r="E83" s="388" t="s">
        <v>132</v>
      </c>
      <c r="F83" s="61" t="s">
        <v>1028</v>
      </c>
      <c r="G83" s="61" t="s">
        <v>1029</v>
      </c>
      <c r="H83" s="387" t="s">
        <v>1030</v>
      </c>
    </row>
    <row r="84" spans="1:8" ht="13.15" customHeight="1" x14ac:dyDescent="0.2">
      <c r="A84" s="380" t="s">
        <v>1031</v>
      </c>
      <c r="B84" s="12" t="s">
        <v>1032</v>
      </c>
      <c r="C84" s="19" t="s">
        <v>741</v>
      </c>
      <c r="D84" s="381">
        <v>121</v>
      </c>
      <c r="E84" s="19" t="s">
        <v>701</v>
      </c>
      <c r="F84" s="12" t="s">
        <v>1033</v>
      </c>
      <c r="G84" s="12" t="s">
        <v>1034</v>
      </c>
      <c r="H84" s="382" t="s">
        <v>996</v>
      </c>
    </row>
    <row r="85" spans="1:8" ht="13.15" customHeight="1" x14ac:dyDescent="0.2">
      <c r="A85" s="386" t="s">
        <v>1035</v>
      </c>
      <c r="B85" s="61" t="s">
        <v>87</v>
      </c>
      <c r="C85" s="54" t="s">
        <v>969</v>
      </c>
      <c r="D85" s="384">
        <v>122</v>
      </c>
      <c r="E85" s="54" t="s">
        <v>21</v>
      </c>
      <c r="F85" s="134" t="s">
        <v>1036</v>
      </c>
      <c r="G85" s="134" t="s">
        <v>1037</v>
      </c>
      <c r="H85" s="387" t="s">
        <v>1038</v>
      </c>
    </row>
    <row r="86" spans="1:8" ht="13.15" customHeight="1" x14ac:dyDescent="0.2">
      <c r="A86" s="386" t="s">
        <v>1039</v>
      </c>
      <c r="B86" s="61" t="s">
        <v>1040</v>
      </c>
      <c r="C86" s="54" t="s">
        <v>969</v>
      </c>
      <c r="D86" s="381">
        <v>123</v>
      </c>
      <c r="E86" s="19" t="s">
        <v>701</v>
      </c>
      <c r="F86" s="134" t="s">
        <v>1041</v>
      </c>
      <c r="G86" s="61" t="s">
        <v>1042</v>
      </c>
      <c r="H86" s="387" t="s">
        <v>1043</v>
      </c>
    </row>
    <row r="87" spans="1:8" x14ac:dyDescent="0.2">
      <c r="A87" s="380" t="s">
        <v>1044</v>
      </c>
      <c r="B87" s="12" t="s">
        <v>1045</v>
      </c>
      <c r="C87" s="19" t="s">
        <v>741</v>
      </c>
      <c r="D87" s="384">
        <v>124</v>
      </c>
      <c r="E87" s="19" t="s">
        <v>792</v>
      </c>
      <c r="F87" s="12" t="s">
        <v>1046</v>
      </c>
      <c r="G87" s="12" t="s">
        <v>1047</v>
      </c>
      <c r="H87" s="382" t="s">
        <v>1048</v>
      </c>
    </row>
    <row r="88" spans="1:8" ht="13.15" customHeight="1" x14ac:dyDescent="0.2">
      <c r="A88" s="380" t="s">
        <v>1049</v>
      </c>
      <c r="B88" s="12" t="s">
        <v>766</v>
      </c>
      <c r="C88" s="19" t="s">
        <v>700</v>
      </c>
      <c r="D88" s="381">
        <v>125</v>
      </c>
      <c r="E88" s="19" t="s">
        <v>701</v>
      </c>
      <c r="F88" s="12" t="s">
        <v>1050</v>
      </c>
      <c r="G88" s="12" t="s">
        <v>1051</v>
      </c>
      <c r="H88" s="382" t="s">
        <v>1052</v>
      </c>
    </row>
    <row r="89" spans="1:8" ht="13.15" customHeight="1" x14ac:dyDescent="0.2">
      <c r="A89" s="380" t="s">
        <v>1053</v>
      </c>
      <c r="B89" s="12" t="s">
        <v>1054</v>
      </c>
      <c r="C89" s="19" t="s">
        <v>700</v>
      </c>
      <c r="D89" s="381">
        <v>126</v>
      </c>
      <c r="E89" s="19" t="s">
        <v>701</v>
      </c>
      <c r="F89" s="12" t="s">
        <v>1055</v>
      </c>
      <c r="G89" s="12" t="s">
        <v>1056</v>
      </c>
      <c r="H89" s="382" t="s">
        <v>1057</v>
      </c>
    </row>
    <row r="90" spans="1:8" ht="13.15" customHeight="1" x14ac:dyDescent="0.2">
      <c r="A90" s="380" t="s">
        <v>1058</v>
      </c>
      <c r="B90" s="12" t="s">
        <v>1054</v>
      </c>
      <c r="C90" s="19" t="s">
        <v>700</v>
      </c>
      <c r="D90" s="381">
        <v>127</v>
      </c>
      <c r="E90" s="19" t="s">
        <v>701</v>
      </c>
      <c r="F90" s="12" t="s">
        <v>1059</v>
      </c>
      <c r="G90" s="12" t="s">
        <v>1060</v>
      </c>
      <c r="H90" s="382" t="s">
        <v>1057</v>
      </c>
    </row>
    <row r="91" spans="1:8" ht="13.15" customHeight="1" x14ac:dyDescent="0.2">
      <c r="A91" s="380" t="s">
        <v>1061</v>
      </c>
      <c r="B91" s="12" t="s">
        <v>1062</v>
      </c>
      <c r="C91" s="19" t="s">
        <v>805</v>
      </c>
      <c r="D91" s="383">
        <v>128</v>
      </c>
      <c r="E91" s="19" t="s">
        <v>21</v>
      </c>
      <c r="F91" s="12" t="s">
        <v>1063</v>
      </c>
      <c r="G91" s="12" t="s">
        <v>1064</v>
      </c>
      <c r="H91" s="382" t="s">
        <v>1065</v>
      </c>
    </row>
    <row r="92" spans="1:8" ht="13.15" customHeight="1" x14ac:dyDescent="0.2">
      <c r="A92" s="380" t="s">
        <v>1066</v>
      </c>
      <c r="B92" s="12" t="s">
        <v>766</v>
      </c>
      <c r="C92" s="19" t="s">
        <v>700</v>
      </c>
      <c r="D92" s="383">
        <v>129</v>
      </c>
      <c r="E92" s="19" t="s">
        <v>20</v>
      </c>
      <c r="F92" s="12" t="s">
        <v>1067</v>
      </c>
      <c r="G92" s="12" t="s">
        <v>1068</v>
      </c>
      <c r="H92" s="382" t="s">
        <v>1069</v>
      </c>
    </row>
    <row r="93" spans="1:8" ht="13.15" customHeight="1" x14ac:dyDescent="0.2">
      <c r="A93" s="380" t="s">
        <v>1070</v>
      </c>
      <c r="B93" s="12" t="s">
        <v>766</v>
      </c>
      <c r="C93" s="19" t="s">
        <v>700</v>
      </c>
      <c r="D93" s="381">
        <v>130</v>
      </c>
      <c r="E93" s="19" t="s">
        <v>701</v>
      </c>
      <c r="F93" s="12" t="s">
        <v>1071</v>
      </c>
      <c r="G93" s="12" t="s">
        <v>1072</v>
      </c>
      <c r="H93" s="382" t="s">
        <v>1069</v>
      </c>
    </row>
    <row r="94" spans="1:8" ht="13.15" customHeight="1" x14ac:dyDescent="0.2">
      <c r="A94" s="386" t="s">
        <v>1073</v>
      </c>
      <c r="B94" s="61" t="s">
        <v>1074</v>
      </c>
      <c r="C94" s="54" t="s">
        <v>756</v>
      </c>
      <c r="D94" s="383">
        <v>131</v>
      </c>
      <c r="E94" s="54" t="s">
        <v>21</v>
      </c>
      <c r="F94" s="61" t="s">
        <v>1075</v>
      </c>
      <c r="G94" s="61" t="s">
        <v>1076</v>
      </c>
      <c r="H94" s="387" t="s">
        <v>1077</v>
      </c>
    </row>
    <row r="95" spans="1:8" ht="13.15" customHeight="1" x14ac:dyDescent="0.2">
      <c r="A95" s="380" t="s">
        <v>1078</v>
      </c>
      <c r="B95" s="12" t="s">
        <v>1079</v>
      </c>
      <c r="C95" s="19" t="s">
        <v>1080</v>
      </c>
      <c r="D95" s="381">
        <v>132</v>
      </c>
      <c r="E95" s="19" t="s">
        <v>701</v>
      </c>
      <c r="F95" s="12" t="s">
        <v>1081</v>
      </c>
      <c r="G95" s="12" t="s">
        <v>1082</v>
      </c>
      <c r="H95" s="382" t="s">
        <v>1083</v>
      </c>
    </row>
    <row r="96" spans="1:8" ht="13.9" customHeight="1" x14ac:dyDescent="0.2">
      <c r="A96" s="380" t="s">
        <v>1084</v>
      </c>
      <c r="B96" s="12" t="s">
        <v>25</v>
      </c>
      <c r="C96" s="19" t="s">
        <v>969</v>
      </c>
      <c r="D96" s="384">
        <v>133</v>
      </c>
      <c r="E96" s="19" t="s">
        <v>20</v>
      </c>
      <c r="F96" s="12" t="s">
        <v>1085</v>
      </c>
      <c r="G96" s="12" t="s">
        <v>1086</v>
      </c>
      <c r="H96" s="382" t="s">
        <v>1087</v>
      </c>
    </row>
    <row r="97" spans="1:8" ht="13.15" customHeight="1" x14ac:dyDescent="0.2">
      <c r="A97" s="380" t="s">
        <v>1088</v>
      </c>
      <c r="B97" s="12" t="s">
        <v>1089</v>
      </c>
      <c r="C97" s="19" t="s">
        <v>1080</v>
      </c>
      <c r="D97" s="383">
        <v>136</v>
      </c>
      <c r="E97" s="19" t="s">
        <v>719</v>
      </c>
      <c r="F97" s="12" t="s">
        <v>1090</v>
      </c>
      <c r="G97" s="12" t="s">
        <v>1091</v>
      </c>
      <c r="H97" s="382" t="s">
        <v>1092</v>
      </c>
    </row>
    <row r="98" spans="1:8" ht="13.15" customHeight="1" x14ac:dyDescent="0.2">
      <c r="A98" s="380" t="s">
        <v>1093</v>
      </c>
      <c r="B98" s="12" t="s">
        <v>1089</v>
      </c>
      <c r="C98" s="19" t="s">
        <v>1080</v>
      </c>
      <c r="D98" s="383">
        <v>137</v>
      </c>
      <c r="E98" s="19" t="s">
        <v>719</v>
      </c>
      <c r="F98" s="12" t="s">
        <v>1094</v>
      </c>
      <c r="G98" s="12" t="s">
        <v>1095</v>
      </c>
      <c r="H98" s="382" t="s">
        <v>1092</v>
      </c>
    </row>
    <row r="99" spans="1:8" ht="13.15" customHeight="1" x14ac:dyDescent="0.2">
      <c r="A99" s="380" t="s">
        <v>1096</v>
      </c>
      <c r="B99" s="12" t="s">
        <v>1097</v>
      </c>
      <c r="C99" s="19" t="s">
        <v>805</v>
      </c>
      <c r="D99" s="383">
        <v>138</v>
      </c>
      <c r="E99" s="19" t="s">
        <v>21</v>
      </c>
      <c r="F99" s="12" t="s">
        <v>1098</v>
      </c>
      <c r="G99" s="12" t="s">
        <v>1099</v>
      </c>
      <c r="H99" s="382" t="s">
        <v>1100</v>
      </c>
    </row>
    <row r="100" spans="1:8" ht="13.15" customHeight="1" x14ac:dyDescent="0.2">
      <c r="A100" s="380" t="s">
        <v>1101</v>
      </c>
      <c r="B100" s="12" t="s">
        <v>1102</v>
      </c>
      <c r="C100" s="19" t="s">
        <v>700</v>
      </c>
      <c r="D100" s="383">
        <v>140</v>
      </c>
      <c r="E100" s="19" t="s">
        <v>792</v>
      </c>
      <c r="F100" s="12" t="s">
        <v>1103</v>
      </c>
      <c r="G100" s="12" t="s">
        <v>1104</v>
      </c>
      <c r="H100" s="382" t="s">
        <v>1105</v>
      </c>
    </row>
    <row r="101" spans="1:8" ht="13.15" customHeight="1" x14ac:dyDescent="0.2">
      <c r="A101" s="380" t="s">
        <v>1106</v>
      </c>
      <c r="B101" s="12" t="s">
        <v>1107</v>
      </c>
      <c r="C101" s="19" t="s">
        <v>700</v>
      </c>
      <c r="D101" s="381">
        <v>141</v>
      </c>
      <c r="E101" s="19" t="s">
        <v>701</v>
      </c>
      <c r="F101" s="12" t="s">
        <v>1108</v>
      </c>
      <c r="G101" s="12" t="s">
        <v>1109</v>
      </c>
      <c r="H101" s="382" t="s">
        <v>1110</v>
      </c>
    </row>
    <row r="102" spans="1:8" x14ac:dyDescent="0.2">
      <c r="A102" s="380" t="s">
        <v>1111</v>
      </c>
      <c r="B102" s="12" t="s">
        <v>1112</v>
      </c>
      <c r="C102" s="19" t="s">
        <v>700</v>
      </c>
      <c r="D102" s="383">
        <v>142</v>
      </c>
      <c r="E102" s="19" t="s">
        <v>21</v>
      </c>
      <c r="F102" s="12" t="s">
        <v>1113</v>
      </c>
      <c r="G102" s="12" t="s">
        <v>1114</v>
      </c>
      <c r="H102" s="382" t="s">
        <v>1115</v>
      </c>
    </row>
    <row r="103" spans="1:8" ht="13.15" customHeight="1" x14ac:dyDescent="0.2">
      <c r="A103" s="380" t="s">
        <v>1116</v>
      </c>
      <c r="B103" s="12" t="s">
        <v>1117</v>
      </c>
      <c r="C103" s="19" t="s">
        <v>700</v>
      </c>
      <c r="D103" s="383">
        <v>143</v>
      </c>
      <c r="E103" s="19" t="s">
        <v>21</v>
      </c>
      <c r="F103" s="12" t="s">
        <v>1118</v>
      </c>
      <c r="G103" s="12" t="s">
        <v>1119</v>
      </c>
      <c r="H103" s="382" t="s">
        <v>1115</v>
      </c>
    </row>
    <row r="104" spans="1:8" ht="13.15" customHeight="1" x14ac:dyDescent="0.2">
      <c r="A104" s="380" t="s">
        <v>1120</v>
      </c>
      <c r="B104" s="12" t="s">
        <v>1117</v>
      </c>
      <c r="C104" s="19" t="s">
        <v>700</v>
      </c>
      <c r="D104" s="383">
        <v>144</v>
      </c>
      <c r="E104" s="19" t="s">
        <v>761</v>
      </c>
      <c r="F104" s="12" t="s">
        <v>1121</v>
      </c>
      <c r="G104" s="12" t="s">
        <v>1122</v>
      </c>
      <c r="H104" s="382" t="s">
        <v>1115</v>
      </c>
    </row>
    <row r="105" spans="1:8" ht="13.15" customHeight="1" x14ac:dyDescent="0.2">
      <c r="A105" s="380" t="s">
        <v>1123</v>
      </c>
      <c r="B105" s="12" t="s">
        <v>1117</v>
      </c>
      <c r="C105" s="19" t="s">
        <v>700</v>
      </c>
      <c r="D105" s="383">
        <v>145</v>
      </c>
      <c r="E105" s="19" t="s">
        <v>1124</v>
      </c>
      <c r="F105" s="12" t="s">
        <v>1125</v>
      </c>
      <c r="G105" s="12" t="s">
        <v>1126</v>
      </c>
      <c r="H105" s="382" t="s">
        <v>1115</v>
      </c>
    </row>
    <row r="106" spans="1:8" ht="13.15" customHeight="1" x14ac:dyDescent="0.2">
      <c r="A106" s="380" t="s">
        <v>1127</v>
      </c>
      <c r="B106" s="12" t="s">
        <v>1102</v>
      </c>
      <c r="C106" s="19" t="s">
        <v>700</v>
      </c>
      <c r="D106" s="383">
        <v>146</v>
      </c>
      <c r="E106" s="19" t="s">
        <v>792</v>
      </c>
      <c r="F106" s="12" t="s">
        <v>1128</v>
      </c>
      <c r="G106" s="12" t="s">
        <v>1129</v>
      </c>
      <c r="H106" s="382" t="s">
        <v>1130</v>
      </c>
    </row>
    <row r="107" spans="1:8" ht="13.15" customHeight="1" x14ac:dyDescent="0.2">
      <c r="A107" s="380" t="s">
        <v>1131</v>
      </c>
      <c r="B107" s="12" t="s">
        <v>1132</v>
      </c>
      <c r="C107" s="19" t="s">
        <v>700</v>
      </c>
      <c r="D107" s="381">
        <v>147</v>
      </c>
      <c r="E107" s="19" t="s">
        <v>701</v>
      </c>
      <c r="F107" s="12" t="s">
        <v>1133</v>
      </c>
      <c r="G107" s="12" t="s">
        <v>1134</v>
      </c>
      <c r="H107" s="382" t="s">
        <v>1130</v>
      </c>
    </row>
    <row r="108" spans="1:8" ht="13.15" customHeight="1" x14ac:dyDescent="0.2">
      <c r="A108" s="380" t="s">
        <v>1135</v>
      </c>
      <c r="B108" s="12" t="s">
        <v>1136</v>
      </c>
      <c r="C108" s="19" t="s">
        <v>700</v>
      </c>
      <c r="D108" s="381">
        <v>148</v>
      </c>
      <c r="E108" s="19" t="s">
        <v>701</v>
      </c>
      <c r="F108" s="12" t="s">
        <v>1137</v>
      </c>
      <c r="G108" s="12" t="s">
        <v>1138</v>
      </c>
      <c r="H108" s="382" t="s">
        <v>1139</v>
      </c>
    </row>
    <row r="109" spans="1:8" ht="13.15" customHeight="1" x14ac:dyDescent="0.2">
      <c r="A109" s="380" t="s">
        <v>1140</v>
      </c>
      <c r="B109" s="12" t="s">
        <v>1107</v>
      </c>
      <c r="C109" s="19" t="s">
        <v>700</v>
      </c>
      <c r="D109" s="383">
        <v>149</v>
      </c>
      <c r="E109" s="19" t="s">
        <v>21</v>
      </c>
      <c r="F109" s="12" t="s">
        <v>1141</v>
      </c>
      <c r="G109" s="12" t="s">
        <v>1142</v>
      </c>
      <c r="H109" s="382" t="s">
        <v>1143</v>
      </c>
    </row>
    <row r="110" spans="1:8" ht="13.15" customHeight="1" x14ac:dyDescent="0.2">
      <c r="A110" s="380" t="s">
        <v>1144</v>
      </c>
      <c r="B110" s="12" t="s">
        <v>1145</v>
      </c>
      <c r="C110" s="19" t="s">
        <v>741</v>
      </c>
      <c r="D110" s="384">
        <v>150</v>
      </c>
      <c r="E110" s="19" t="s">
        <v>1146</v>
      </c>
      <c r="F110" s="53" t="s">
        <v>1147</v>
      </c>
      <c r="G110" s="12" t="s">
        <v>1148</v>
      </c>
      <c r="H110" s="382" t="s">
        <v>1149</v>
      </c>
    </row>
    <row r="111" spans="1:8" ht="13.15" customHeight="1" x14ac:dyDescent="0.2">
      <c r="A111" s="380" t="s">
        <v>1150</v>
      </c>
      <c r="B111" s="12" t="s">
        <v>1145</v>
      </c>
      <c r="C111" s="19" t="s">
        <v>741</v>
      </c>
      <c r="D111" s="384">
        <v>151</v>
      </c>
      <c r="E111" s="19" t="s">
        <v>792</v>
      </c>
      <c r="F111" s="53" t="s">
        <v>1151</v>
      </c>
      <c r="G111" s="12" t="s">
        <v>1152</v>
      </c>
      <c r="H111" s="382" t="s">
        <v>1153</v>
      </c>
    </row>
    <row r="112" spans="1:8" ht="13.15" customHeight="1" x14ac:dyDescent="0.2">
      <c r="A112" s="380" t="s">
        <v>1154</v>
      </c>
      <c r="B112" s="12" t="s">
        <v>1136</v>
      </c>
      <c r="C112" s="19" t="s">
        <v>700</v>
      </c>
      <c r="D112" s="383">
        <v>152</v>
      </c>
      <c r="E112" s="19" t="s">
        <v>21</v>
      </c>
      <c r="F112" s="12" t="s">
        <v>1155</v>
      </c>
      <c r="G112" s="12" t="s">
        <v>1156</v>
      </c>
      <c r="H112" s="382" t="s">
        <v>1157</v>
      </c>
    </row>
    <row r="113" spans="1:8" ht="13.15" customHeight="1" x14ac:dyDescent="0.2">
      <c r="A113" s="380" t="s">
        <v>1158</v>
      </c>
      <c r="B113" s="12" t="s">
        <v>1136</v>
      </c>
      <c r="C113" s="19" t="s">
        <v>700</v>
      </c>
      <c r="D113" s="383">
        <v>153</v>
      </c>
      <c r="E113" s="19" t="s">
        <v>21</v>
      </c>
      <c r="F113" s="12" t="s">
        <v>1159</v>
      </c>
      <c r="G113" s="12" t="s">
        <v>1160</v>
      </c>
      <c r="H113" s="382" t="s">
        <v>1161</v>
      </c>
    </row>
    <row r="114" spans="1:8" ht="13.15" customHeight="1" x14ac:dyDescent="0.2">
      <c r="A114" s="380" t="s">
        <v>1162</v>
      </c>
      <c r="B114" s="12" t="s">
        <v>1136</v>
      </c>
      <c r="C114" s="19" t="s">
        <v>700</v>
      </c>
      <c r="D114" s="383">
        <v>154</v>
      </c>
      <c r="E114" s="19" t="s">
        <v>21</v>
      </c>
      <c r="F114" s="12" t="s">
        <v>1163</v>
      </c>
      <c r="G114" s="12" t="s">
        <v>1164</v>
      </c>
      <c r="H114" s="382" t="s">
        <v>1161</v>
      </c>
    </row>
    <row r="115" spans="1:8" ht="13.15" customHeight="1" x14ac:dyDescent="0.2">
      <c r="A115" s="380" t="s">
        <v>1165</v>
      </c>
      <c r="B115" s="12" t="s">
        <v>1166</v>
      </c>
      <c r="C115" s="19" t="s">
        <v>805</v>
      </c>
      <c r="D115" s="385">
        <v>155</v>
      </c>
      <c r="E115" s="19" t="s">
        <v>792</v>
      </c>
      <c r="F115" s="12" t="s">
        <v>1167</v>
      </c>
      <c r="G115" s="12" t="s">
        <v>1168</v>
      </c>
      <c r="H115" s="382" t="s">
        <v>1169</v>
      </c>
    </row>
    <row r="116" spans="1:8" ht="13.15" customHeight="1" x14ac:dyDescent="0.2">
      <c r="A116" s="380" t="s">
        <v>1170</v>
      </c>
      <c r="B116" s="12" t="s">
        <v>1166</v>
      </c>
      <c r="C116" s="19" t="s">
        <v>805</v>
      </c>
      <c r="D116" s="383">
        <v>156</v>
      </c>
      <c r="E116" s="19" t="s">
        <v>21</v>
      </c>
      <c r="F116" s="12" t="s">
        <v>1171</v>
      </c>
      <c r="G116" s="12" t="s">
        <v>1172</v>
      </c>
      <c r="H116" s="382" t="s">
        <v>1173</v>
      </c>
    </row>
    <row r="117" spans="1:8" x14ac:dyDescent="0.2">
      <c r="A117" s="380" t="s">
        <v>1174</v>
      </c>
      <c r="B117" s="12" t="s">
        <v>1117</v>
      </c>
      <c r="C117" s="19" t="s">
        <v>700</v>
      </c>
      <c r="D117" s="383">
        <v>158</v>
      </c>
      <c r="E117" s="19" t="s">
        <v>761</v>
      </c>
      <c r="F117" s="12" t="s">
        <v>1175</v>
      </c>
      <c r="G117" s="12" t="s">
        <v>1176</v>
      </c>
      <c r="H117" s="382" t="s">
        <v>1177</v>
      </c>
    </row>
    <row r="118" spans="1:8" ht="13.15" customHeight="1" x14ac:dyDescent="0.2">
      <c r="A118" s="380" t="s">
        <v>1178</v>
      </c>
      <c r="B118" s="12" t="s">
        <v>1117</v>
      </c>
      <c r="C118" s="19" t="s">
        <v>700</v>
      </c>
      <c r="D118" s="383">
        <v>159</v>
      </c>
      <c r="E118" s="19" t="s">
        <v>21</v>
      </c>
      <c r="F118" s="12" t="s">
        <v>1179</v>
      </c>
      <c r="G118" s="12" t="s">
        <v>1180</v>
      </c>
      <c r="H118" s="382" t="s">
        <v>1177</v>
      </c>
    </row>
    <row r="119" spans="1:8" ht="13.15" customHeight="1" x14ac:dyDescent="0.2">
      <c r="A119" s="380" t="s">
        <v>1181</v>
      </c>
      <c r="B119" s="12" t="s">
        <v>1117</v>
      </c>
      <c r="C119" s="19" t="s">
        <v>700</v>
      </c>
      <c r="D119" s="383">
        <v>160</v>
      </c>
      <c r="E119" s="19" t="s">
        <v>21</v>
      </c>
      <c r="F119" s="12" t="s">
        <v>1182</v>
      </c>
      <c r="G119" s="12" t="s">
        <v>1183</v>
      </c>
      <c r="H119" s="382" t="s">
        <v>1177</v>
      </c>
    </row>
    <row r="120" spans="1:8" ht="13.15" customHeight="1" x14ac:dyDescent="0.2">
      <c r="A120" s="380" t="s">
        <v>1184</v>
      </c>
      <c r="B120" s="12" t="s">
        <v>1117</v>
      </c>
      <c r="C120" s="19" t="s">
        <v>700</v>
      </c>
      <c r="D120" s="383">
        <v>161</v>
      </c>
      <c r="E120" s="19" t="s">
        <v>21</v>
      </c>
      <c r="F120" s="12" t="s">
        <v>1185</v>
      </c>
      <c r="G120" s="12" t="s">
        <v>1186</v>
      </c>
      <c r="H120" s="382" t="s">
        <v>1187</v>
      </c>
    </row>
    <row r="121" spans="1:8" x14ac:dyDescent="0.2">
      <c r="A121" s="380" t="s">
        <v>1188</v>
      </c>
      <c r="B121" s="12" t="s">
        <v>1117</v>
      </c>
      <c r="C121" s="19" t="s">
        <v>700</v>
      </c>
      <c r="D121" s="383">
        <v>162</v>
      </c>
      <c r="E121" s="19" t="s">
        <v>21</v>
      </c>
      <c r="F121" s="12" t="s">
        <v>1189</v>
      </c>
      <c r="G121" s="12" t="s">
        <v>1190</v>
      </c>
      <c r="H121" s="382" t="s">
        <v>1177</v>
      </c>
    </row>
    <row r="122" spans="1:8" ht="13.15" customHeight="1" x14ac:dyDescent="0.2">
      <c r="A122" s="380" t="s">
        <v>1191</v>
      </c>
      <c r="B122" s="12" t="s">
        <v>1192</v>
      </c>
      <c r="C122" s="19" t="s">
        <v>1080</v>
      </c>
      <c r="D122" s="383">
        <v>163</v>
      </c>
      <c r="E122" s="19" t="s">
        <v>719</v>
      </c>
      <c r="F122" s="12" t="s">
        <v>1193</v>
      </c>
      <c r="G122" s="12" t="s">
        <v>1194</v>
      </c>
      <c r="H122" s="382" t="s">
        <v>1195</v>
      </c>
    </row>
    <row r="123" spans="1:8" x14ac:dyDescent="0.2">
      <c r="A123" s="380" t="s">
        <v>1196</v>
      </c>
      <c r="B123" s="12" t="s">
        <v>1192</v>
      </c>
      <c r="C123" s="19" t="s">
        <v>1080</v>
      </c>
      <c r="D123" s="383">
        <v>164</v>
      </c>
      <c r="E123" s="19" t="s">
        <v>719</v>
      </c>
      <c r="F123" s="12" t="s">
        <v>1197</v>
      </c>
      <c r="G123" s="12" t="s">
        <v>1198</v>
      </c>
      <c r="H123" s="382" t="s">
        <v>1195</v>
      </c>
    </row>
    <row r="124" spans="1:8" ht="13.15" customHeight="1" x14ac:dyDescent="0.2">
      <c r="A124" s="380" t="s">
        <v>1199</v>
      </c>
      <c r="B124" s="12" t="s">
        <v>1136</v>
      </c>
      <c r="C124" s="19" t="s">
        <v>700</v>
      </c>
      <c r="D124" s="381">
        <v>165</v>
      </c>
      <c r="E124" s="19" t="s">
        <v>701</v>
      </c>
      <c r="F124" s="12" t="s">
        <v>1200</v>
      </c>
      <c r="G124" s="12" t="s">
        <v>1201</v>
      </c>
      <c r="H124" s="382" t="s">
        <v>1202</v>
      </c>
    </row>
    <row r="125" spans="1:8" ht="13.15" customHeight="1" x14ac:dyDescent="0.2">
      <c r="A125" s="380" t="s">
        <v>1203</v>
      </c>
      <c r="B125" s="12" t="s">
        <v>1136</v>
      </c>
      <c r="C125" s="19" t="s">
        <v>700</v>
      </c>
      <c r="D125" s="381">
        <v>166</v>
      </c>
      <c r="E125" s="19" t="s">
        <v>701</v>
      </c>
      <c r="F125" s="12" t="s">
        <v>1204</v>
      </c>
      <c r="G125" s="12" t="s">
        <v>1205</v>
      </c>
      <c r="H125" s="382" t="s">
        <v>1202</v>
      </c>
    </row>
    <row r="126" spans="1:8" ht="13.15" customHeight="1" x14ac:dyDescent="0.2">
      <c r="A126" s="380" t="s">
        <v>1206</v>
      </c>
      <c r="B126" s="12" t="s">
        <v>1136</v>
      </c>
      <c r="C126" s="19" t="s">
        <v>700</v>
      </c>
      <c r="D126" s="381">
        <v>167</v>
      </c>
      <c r="E126" s="19" t="s">
        <v>701</v>
      </c>
      <c r="F126" s="12" t="s">
        <v>1207</v>
      </c>
      <c r="G126" s="12" t="s">
        <v>1208</v>
      </c>
      <c r="H126" s="382" t="s">
        <v>1209</v>
      </c>
    </row>
    <row r="127" spans="1:8" ht="13.15" customHeight="1" x14ac:dyDescent="0.2">
      <c r="A127" s="386" t="s">
        <v>1210</v>
      </c>
      <c r="B127" s="61" t="s">
        <v>1211</v>
      </c>
      <c r="C127" s="54" t="s">
        <v>756</v>
      </c>
      <c r="D127" s="383">
        <v>168</v>
      </c>
      <c r="E127" s="54" t="s">
        <v>21</v>
      </c>
      <c r="F127" s="61" t="s">
        <v>1212</v>
      </c>
      <c r="G127" s="61" t="s">
        <v>1213</v>
      </c>
      <c r="H127" s="387" t="s">
        <v>1214</v>
      </c>
    </row>
    <row r="128" spans="1:8" ht="13.15" customHeight="1" x14ac:dyDescent="0.2">
      <c r="A128" s="380" t="s">
        <v>1215</v>
      </c>
      <c r="B128" s="12" t="s">
        <v>1216</v>
      </c>
      <c r="C128" s="19" t="s">
        <v>805</v>
      </c>
      <c r="D128" s="383">
        <v>169</v>
      </c>
      <c r="E128" s="19" t="s">
        <v>761</v>
      </c>
      <c r="F128" s="12" t="s">
        <v>1217</v>
      </c>
      <c r="G128" s="12" t="s">
        <v>1218</v>
      </c>
      <c r="H128" s="382" t="s">
        <v>1214</v>
      </c>
    </row>
    <row r="129" spans="1:8" ht="13.15" customHeight="1" x14ac:dyDescent="0.2">
      <c r="A129" s="380" t="s">
        <v>1219</v>
      </c>
      <c r="B129" s="12" t="s">
        <v>1216</v>
      </c>
      <c r="C129" s="19" t="s">
        <v>805</v>
      </c>
      <c r="D129" s="383">
        <v>170</v>
      </c>
      <c r="E129" s="19" t="s">
        <v>761</v>
      </c>
      <c r="F129" s="12" t="s">
        <v>1220</v>
      </c>
      <c r="G129" s="12" t="s">
        <v>1221</v>
      </c>
      <c r="H129" s="382" t="s">
        <v>1214</v>
      </c>
    </row>
    <row r="130" spans="1:8" ht="13.15" customHeight="1" x14ac:dyDescent="0.2">
      <c r="A130" s="380"/>
      <c r="B130" s="12" t="s">
        <v>59</v>
      </c>
      <c r="C130" s="19" t="s">
        <v>718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 x14ac:dyDescent="0.2">
      <c r="A131" s="380" t="s">
        <v>1222</v>
      </c>
      <c r="B131" s="12" t="s">
        <v>1223</v>
      </c>
      <c r="C131" s="19" t="s">
        <v>718</v>
      </c>
      <c r="D131" s="384">
        <v>172</v>
      </c>
      <c r="E131" s="19" t="s">
        <v>20</v>
      </c>
      <c r="F131" s="12"/>
      <c r="G131" s="12" t="s">
        <v>1224</v>
      </c>
      <c r="H131" s="382" t="s">
        <v>1225</v>
      </c>
    </row>
    <row r="132" spans="1:8" x14ac:dyDescent="0.2">
      <c r="A132" s="386" t="s">
        <v>1226</v>
      </c>
      <c r="B132" s="61" t="s">
        <v>1227</v>
      </c>
      <c r="C132" s="54" t="s">
        <v>756</v>
      </c>
      <c r="D132" s="383">
        <v>202</v>
      </c>
      <c r="E132" s="54" t="s">
        <v>21</v>
      </c>
      <c r="F132" s="61" t="s">
        <v>1228</v>
      </c>
      <c r="G132" s="61" t="s">
        <v>1229</v>
      </c>
      <c r="H132" s="387" t="s">
        <v>1230</v>
      </c>
    </row>
    <row r="133" spans="1:8" ht="13.15" customHeight="1" x14ac:dyDescent="0.2">
      <c r="A133" s="386" t="s">
        <v>1231</v>
      </c>
      <c r="B133" s="61" t="s">
        <v>1232</v>
      </c>
      <c r="C133" s="54" t="s">
        <v>756</v>
      </c>
      <c r="D133" s="381">
        <v>203</v>
      </c>
      <c r="E133" s="19" t="s">
        <v>701</v>
      </c>
      <c r="F133" s="61" t="s">
        <v>1233</v>
      </c>
      <c r="G133" s="61" t="s">
        <v>1234</v>
      </c>
      <c r="H133" s="387" t="s">
        <v>1235</v>
      </c>
    </row>
    <row r="134" spans="1:8" ht="13.15" customHeight="1" x14ac:dyDescent="0.2">
      <c r="A134" s="380" t="s">
        <v>1236</v>
      </c>
      <c r="B134" s="12" t="s">
        <v>1237</v>
      </c>
      <c r="C134" s="19" t="s">
        <v>1080</v>
      </c>
      <c r="D134" s="381">
        <v>207</v>
      </c>
      <c r="E134" s="19" t="s">
        <v>701</v>
      </c>
      <c r="F134" s="12" t="s">
        <v>1238</v>
      </c>
      <c r="G134" s="12" t="s">
        <v>1239</v>
      </c>
      <c r="H134" s="382" t="s">
        <v>1240</v>
      </c>
    </row>
    <row r="135" spans="1:8" ht="13.15" customHeight="1" x14ac:dyDescent="0.2">
      <c r="A135" s="380" t="s">
        <v>1241</v>
      </c>
      <c r="B135" s="12" t="s">
        <v>856</v>
      </c>
      <c r="C135" s="19" t="s">
        <v>700</v>
      </c>
      <c r="D135" s="381">
        <v>208</v>
      </c>
      <c r="E135" s="19" t="s">
        <v>701</v>
      </c>
      <c r="F135" s="12" t="s">
        <v>1242</v>
      </c>
      <c r="G135" s="12" t="s">
        <v>1243</v>
      </c>
      <c r="H135" s="382" t="s">
        <v>1244</v>
      </c>
    </row>
    <row r="136" spans="1:8" ht="13.15" customHeight="1" x14ac:dyDescent="0.2">
      <c r="A136" s="380" t="s">
        <v>1245</v>
      </c>
      <c r="B136" s="12" t="s">
        <v>1246</v>
      </c>
      <c r="C136" s="19" t="s">
        <v>1080</v>
      </c>
      <c r="D136" s="381">
        <v>209</v>
      </c>
      <c r="E136" s="19" t="s">
        <v>701</v>
      </c>
      <c r="F136" s="12" t="s">
        <v>1247</v>
      </c>
      <c r="G136" s="12" t="s">
        <v>1248</v>
      </c>
      <c r="H136" s="382" t="s">
        <v>1249</v>
      </c>
    </row>
    <row r="137" spans="1:8" ht="13.15" customHeight="1" x14ac:dyDescent="0.2">
      <c r="A137" s="380" t="s">
        <v>1250</v>
      </c>
      <c r="B137" s="12" t="s">
        <v>1251</v>
      </c>
      <c r="C137" s="19" t="s">
        <v>700</v>
      </c>
      <c r="D137" s="381">
        <v>210</v>
      </c>
      <c r="E137" s="19" t="s">
        <v>701</v>
      </c>
      <c r="F137" s="53" t="s">
        <v>1252</v>
      </c>
      <c r="G137" s="12" t="s">
        <v>1253</v>
      </c>
      <c r="H137" s="382" t="s">
        <v>1254</v>
      </c>
    </row>
    <row r="138" spans="1:8" ht="13.15" customHeight="1" x14ac:dyDescent="0.2">
      <c r="A138" s="386" t="s">
        <v>1255</v>
      </c>
      <c r="B138" s="61" t="s">
        <v>1256</v>
      </c>
      <c r="C138" s="54" t="s">
        <v>969</v>
      </c>
      <c r="D138" s="381">
        <v>211</v>
      </c>
      <c r="E138" s="19" t="s">
        <v>701</v>
      </c>
      <c r="F138" s="61"/>
      <c r="G138" s="61"/>
      <c r="H138" s="387"/>
    </row>
    <row r="139" spans="1:8" ht="13.15" customHeight="1" x14ac:dyDescent="0.2">
      <c r="A139" s="380" t="s">
        <v>1257</v>
      </c>
      <c r="B139" s="12" t="s">
        <v>1258</v>
      </c>
      <c r="C139" s="19" t="s">
        <v>1080</v>
      </c>
      <c r="D139" s="381">
        <v>215</v>
      </c>
      <c r="E139" s="19" t="s">
        <v>701</v>
      </c>
      <c r="F139" s="12" t="s">
        <v>1259</v>
      </c>
      <c r="G139" s="12" t="s">
        <v>1260</v>
      </c>
      <c r="H139" s="382" t="s">
        <v>1261</v>
      </c>
    </row>
    <row r="140" spans="1:8" ht="13.15" customHeight="1" x14ac:dyDescent="0.2">
      <c r="A140" s="380" t="s">
        <v>1262</v>
      </c>
      <c r="B140" s="12" t="s">
        <v>766</v>
      </c>
      <c r="C140" s="19" t="s">
        <v>700</v>
      </c>
      <c r="D140" s="381">
        <v>217</v>
      </c>
      <c r="E140" s="19" t="s">
        <v>701</v>
      </c>
      <c r="F140" s="12" t="s">
        <v>1263</v>
      </c>
      <c r="G140" s="12" t="s">
        <v>1264</v>
      </c>
      <c r="H140" s="382" t="s">
        <v>1265</v>
      </c>
    </row>
    <row r="141" spans="1:8" ht="13.15" customHeight="1" x14ac:dyDescent="0.2">
      <c r="A141" s="380" t="s">
        <v>1266</v>
      </c>
      <c r="B141" s="12" t="s">
        <v>1267</v>
      </c>
      <c r="C141" s="19" t="s">
        <v>756</v>
      </c>
      <c r="D141" s="381">
        <v>218</v>
      </c>
      <c r="E141" s="19" t="s">
        <v>701</v>
      </c>
      <c r="F141" s="53" t="s">
        <v>1268</v>
      </c>
      <c r="G141" s="12" t="s">
        <v>1269</v>
      </c>
      <c r="H141" s="382" t="s">
        <v>1270</v>
      </c>
    </row>
    <row r="142" spans="1:8" ht="13.15" customHeight="1" x14ac:dyDescent="0.2">
      <c r="A142" s="380" t="s">
        <v>1271</v>
      </c>
      <c r="B142" s="12" t="s">
        <v>1136</v>
      </c>
      <c r="C142" s="19" t="s">
        <v>700</v>
      </c>
      <c r="D142" s="381">
        <v>220</v>
      </c>
      <c r="E142" s="19" t="s">
        <v>701</v>
      </c>
      <c r="F142" s="12" t="s">
        <v>1272</v>
      </c>
      <c r="G142" s="12" t="s">
        <v>1273</v>
      </c>
      <c r="H142" s="382" t="s">
        <v>1274</v>
      </c>
    </row>
    <row r="143" spans="1:8" ht="13.15" customHeight="1" x14ac:dyDescent="0.2">
      <c r="A143" s="380" t="s">
        <v>1275</v>
      </c>
      <c r="B143" s="12" t="s">
        <v>934</v>
      </c>
      <c r="C143" s="19" t="s">
        <v>718</v>
      </c>
      <c r="D143" s="381">
        <v>251</v>
      </c>
      <c r="E143" s="19" t="s">
        <v>701</v>
      </c>
      <c r="F143" s="12"/>
      <c r="G143" s="12" t="s">
        <v>1276</v>
      </c>
      <c r="H143" s="382" t="s">
        <v>1277</v>
      </c>
    </row>
    <row r="144" spans="1:8" ht="13.15" customHeight="1" x14ac:dyDescent="0.2">
      <c r="A144" s="380" t="s">
        <v>1278</v>
      </c>
      <c r="B144" s="12" t="s">
        <v>717</v>
      </c>
      <c r="C144" s="19" t="s">
        <v>718</v>
      </c>
      <c r="D144" s="381">
        <v>252</v>
      </c>
      <c r="E144" s="19" t="s">
        <v>701</v>
      </c>
      <c r="F144" s="12"/>
      <c r="G144" s="12" t="s">
        <v>1279</v>
      </c>
      <c r="H144" s="382" t="s">
        <v>1280</v>
      </c>
    </row>
    <row r="145" spans="1:8" ht="13.15" customHeight="1" x14ac:dyDescent="0.2">
      <c r="A145" s="380" t="s">
        <v>1281</v>
      </c>
      <c r="B145" s="12" t="s">
        <v>1282</v>
      </c>
      <c r="C145" s="19" t="s">
        <v>700</v>
      </c>
      <c r="D145" s="383">
        <v>253</v>
      </c>
      <c r="E145" s="19" t="s">
        <v>21</v>
      </c>
      <c r="F145" s="12" t="s">
        <v>1283</v>
      </c>
      <c r="G145" s="12" t="s">
        <v>1284</v>
      </c>
      <c r="H145" s="382" t="s">
        <v>1285</v>
      </c>
    </row>
    <row r="146" spans="1:8" ht="13.15" customHeight="1" x14ac:dyDescent="0.2">
      <c r="A146" s="380" t="s">
        <v>1286</v>
      </c>
      <c r="B146" s="12" t="s">
        <v>1282</v>
      </c>
      <c r="C146" s="19" t="s">
        <v>700</v>
      </c>
      <c r="D146" s="383">
        <v>254</v>
      </c>
      <c r="E146" s="19" t="s">
        <v>21</v>
      </c>
      <c r="F146" s="12" t="s">
        <v>1287</v>
      </c>
      <c r="G146" s="12" t="s">
        <v>1288</v>
      </c>
      <c r="H146" s="382" t="s">
        <v>1285</v>
      </c>
    </row>
    <row r="147" spans="1:8" ht="13.9" customHeight="1" x14ac:dyDescent="0.2">
      <c r="A147" s="380" t="s">
        <v>1289</v>
      </c>
      <c r="B147" s="12" t="s">
        <v>1290</v>
      </c>
      <c r="C147" s="19" t="s">
        <v>700</v>
      </c>
      <c r="D147" s="383">
        <v>255</v>
      </c>
      <c r="E147" s="19" t="s">
        <v>712</v>
      </c>
      <c r="F147" s="12" t="s">
        <v>1291</v>
      </c>
      <c r="G147" s="12" t="s">
        <v>1292</v>
      </c>
      <c r="H147" s="382" t="s">
        <v>1285</v>
      </c>
    </row>
    <row r="148" spans="1:8" ht="13.15" customHeight="1" x14ac:dyDescent="0.2">
      <c r="A148" s="380" t="s">
        <v>1293</v>
      </c>
      <c r="B148" s="12" t="s">
        <v>1282</v>
      </c>
      <c r="C148" s="19" t="s">
        <v>700</v>
      </c>
      <c r="D148" s="383">
        <v>256</v>
      </c>
      <c r="E148" s="19" t="s">
        <v>761</v>
      </c>
      <c r="F148" s="12" t="s">
        <v>1294</v>
      </c>
      <c r="G148" s="12" t="s">
        <v>1295</v>
      </c>
      <c r="H148" s="382" t="s">
        <v>1285</v>
      </c>
    </row>
    <row r="149" spans="1:8" ht="13.15" customHeight="1" x14ac:dyDescent="0.2">
      <c r="A149" s="380" t="s">
        <v>1296</v>
      </c>
      <c r="B149" s="12" t="s">
        <v>1282</v>
      </c>
      <c r="C149" s="19" t="s">
        <v>700</v>
      </c>
      <c r="D149" s="383">
        <v>257</v>
      </c>
      <c r="E149" s="19" t="s">
        <v>21</v>
      </c>
      <c r="F149" s="12" t="s">
        <v>1297</v>
      </c>
      <c r="G149" s="12" t="s">
        <v>1298</v>
      </c>
      <c r="H149" s="382" t="s">
        <v>1285</v>
      </c>
    </row>
    <row r="150" spans="1:8" x14ac:dyDescent="0.2">
      <c r="A150" s="380" t="s">
        <v>1299</v>
      </c>
      <c r="B150" s="12" t="s">
        <v>1300</v>
      </c>
      <c r="C150" s="19" t="s">
        <v>1080</v>
      </c>
      <c r="D150" s="383">
        <v>258</v>
      </c>
      <c r="E150" s="19" t="s">
        <v>719</v>
      </c>
      <c r="F150" s="12" t="s">
        <v>1301</v>
      </c>
      <c r="G150" s="12" t="s">
        <v>1302</v>
      </c>
      <c r="H150" s="382" t="s">
        <v>1285</v>
      </c>
    </row>
    <row r="151" spans="1:8" x14ac:dyDescent="0.2">
      <c r="A151" s="380" t="s">
        <v>1303</v>
      </c>
      <c r="B151" s="12" t="s">
        <v>1300</v>
      </c>
      <c r="C151" s="19" t="s">
        <v>1080</v>
      </c>
      <c r="D151" s="385">
        <v>259</v>
      </c>
      <c r="E151" s="19" t="s">
        <v>719</v>
      </c>
      <c r="F151" s="12" t="s">
        <v>1304</v>
      </c>
      <c r="G151" s="12" t="s">
        <v>1305</v>
      </c>
      <c r="H151" s="382" t="s">
        <v>1285</v>
      </c>
    </row>
    <row r="152" spans="1:8" ht="13.15" customHeight="1" x14ac:dyDescent="0.2">
      <c r="A152" s="380" t="s">
        <v>1306</v>
      </c>
      <c r="B152" s="12" t="s">
        <v>1307</v>
      </c>
      <c r="C152" s="19" t="s">
        <v>700</v>
      </c>
      <c r="D152" s="383">
        <v>260</v>
      </c>
      <c r="E152" s="19" t="s">
        <v>20</v>
      </c>
      <c r="F152" s="12" t="s">
        <v>1308</v>
      </c>
      <c r="G152" s="12" t="s">
        <v>1309</v>
      </c>
      <c r="H152" s="382" t="s">
        <v>1310</v>
      </c>
    </row>
    <row r="153" spans="1:8" ht="13.15" customHeight="1" x14ac:dyDescent="0.2">
      <c r="A153" s="380" t="s">
        <v>1311</v>
      </c>
      <c r="B153" s="12" t="s">
        <v>1307</v>
      </c>
      <c r="C153" s="19" t="s">
        <v>700</v>
      </c>
      <c r="D153" s="383">
        <v>261</v>
      </c>
      <c r="E153" s="19" t="s">
        <v>20</v>
      </c>
      <c r="F153" s="12" t="s">
        <v>1312</v>
      </c>
      <c r="G153" s="12" t="s">
        <v>1313</v>
      </c>
      <c r="H153" s="382" t="s">
        <v>1310</v>
      </c>
    </row>
    <row r="154" spans="1:8" ht="13.15" customHeight="1" x14ac:dyDescent="0.2">
      <c r="A154" s="380" t="s">
        <v>1314</v>
      </c>
      <c r="B154" s="12" t="s">
        <v>1307</v>
      </c>
      <c r="C154" s="19" t="s">
        <v>700</v>
      </c>
      <c r="D154" s="383">
        <v>262</v>
      </c>
      <c r="E154" s="19" t="s">
        <v>20</v>
      </c>
      <c r="F154" s="12" t="s">
        <v>1315</v>
      </c>
      <c r="G154" s="12" t="s">
        <v>1316</v>
      </c>
      <c r="H154" s="382" t="s">
        <v>1310</v>
      </c>
    </row>
    <row r="155" spans="1:8" ht="13.15" customHeight="1" x14ac:dyDescent="0.2">
      <c r="A155" s="380" t="s">
        <v>1317</v>
      </c>
      <c r="B155" s="12" t="s">
        <v>1307</v>
      </c>
      <c r="C155" s="19" t="s">
        <v>700</v>
      </c>
      <c r="D155" s="383">
        <v>263</v>
      </c>
      <c r="E155" s="19" t="s">
        <v>20</v>
      </c>
      <c r="F155" s="12" t="s">
        <v>1318</v>
      </c>
      <c r="G155" s="12" t="s">
        <v>1319</v>
      </c>
      <c r="H155" s="382" t="s">
        <v>1310</v>
      </c>
    </row>
    <row r="156" spans="1:8" ht="13.15" customHeight="1" x14ac:dyDescent="0.2">
      <c r="A156" s="380" t="s">
        <v>1320</v>
      </c>
      <c r="B156" s="12" t="s">
        <v>87</v>
      </c>
      <c r="C156" s="54" t="s">
        <v>969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 x14ac:dyDescent="0.2">
      <c r="A157" s="380" t="s">
        <v>1321</v>
      </c>
      <c r="B157" s="12" t="s">
        <v>87</v>
      </c>
      <c r="C157" s="54" t="s">
        <v>969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 x14ac:dyDescent="0.2">
      <c r="A158" s="380" t="s">
        <v>1322</v>
      </c>
      <c r="B158" s="12" t="s">
        <v>87</v>
      </c>
      <c r="C158" s="54" t="s">
        <v>969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 x14ac:dyDescent="0.2">
      <c r="A159" s="380" t="s">
        <v>1323</v>
      </c>
      <c r="B159" s="12" t="s">
        <v>87</v>
      </c>
      <c r="C159" s="54" t="s">
        <v>969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 x14ac:dyDescent="0.2">
      <c r="A160" s="380" t="s">
        <v>1324</v>
      </c>
      <c r="B160" s="12" t="s">
        <v>1325</v>
      </c>
      <c r="C160" s="19" t="s">
        <v>756</v>
      </c>
      <c r="D160" s="389">
        <v>310</v>
      </c>
      <c r="E160" s="19" t="s">
        <v>1326</v>
      </c>
      <c r="F160" s="12" t="s">
        <v>1327</v>
      </c>
      <c r="G160" s="12" t="s">
        <v>1328</v>
      </c>
      <c r="H160" s="382" t="s">
        <v>1329</v>
      </c>
    </row>
    <row r="161" spans="1:8" ht="13.15" customHeight="1" x14ac:dyDescent="0.2">
      <c r="A161" s="380" t="s">
        <v>1330</v>
      </c>
      <c r="B161" s="12" t="s">
        <v>1331</v>
      </c>
      <c r="C161" s="19" t="s">
        <v>700</v>
      </c>
      <c r="D161" s="389">
        <v>311</v>
      </c>
      <c r="E161" s="19" t="s">
        <v>1326</v>
      </c>
      <c r="F161" s="12" t="s">
        <v>1332</v>
      </c>
      <c r="G161" s="12" t="s">
        <v>1333</v>
      </c>
      <c r="H161" s="382" t="s">
        <v>1334</v>
      </c>
    </row>
    <row r="162" spans="1:8" ht="13.15" customHeight="1" x14ac:dyDescent="0.2">
      <c r="A162" s="380" t="s">
        <v>1335</v>
      </c>
      <c r="B162" s="12" t="s">
        <v>1336</v>
      </c>
      <c r="C162" s="19" t="s">
        <v>700</v>
      </c>
      <c r="D162" s="381">
        <v>313</v>
      </c>
      <c r="E162" s="19" t="s">
        <v>701</v>
      </c>
      <c r="F162" s="12" t="s">
        <v>1337</v>
      </c>
      <c r="G162" s="12" t="s">
        <v>1338</v>
      </c>
      <c r="H162" s="382" t="s">
        <v>868</v>
      </c>
    </row>
    <row r="163" spans="1:8" ht="13.15" customHeight="1" x14ac:dyDescent="0.2">
      <c r="A163" s="380" t="s">
        <v>1339</v>
      </c>
      <c r="B163" s="12" t="s">
        <v>1117</v>
      </c>
      <c r="C163" s="19" t="s">
        <v>700</v>
      </c>
      <c r="D163" s="389">
        <v>314</v>
      </c>
      <c r="E163" s="19" t="s">
        <v>1326</v>
      </c>
      <c r="F163" s="53" t="s">
        <v>1340</v>
      </c>
      <c r="G163" s="12" t="s">
        <v>1341</v>
      </c>
      <c r="H163" s="382" t="s">
        <v>1342</v>
      </c>
    </row>
    <row r="164" spans="1:8" ht="13.9" customHeight="1" x14ac:dyDescent="0.2">
      <c r="A164" s="380" t="s">
        <v>1343</v>
      </c>
      <c r="B164" s="12" t="s">
        <v>1117</v>
      </c>
      <c r="C164" s="19" t="s">
        <v>700</v>
      </c>
      <c r="D164" s="389">
        <v>315</v>
      </c>
      <c r="E164" s="19" t="s">
        <v>1326</v>
      </c>
      <c r="F164" s="53" t="s">
        <v>1344</v>
      </c>
      <c r="G164" s="12" t="s">
        <v>1345</v>
      </c>
      <c r="H164" s="382" t="s">
        <v>1346</v>
      </c>
    </row>
    <row r="165" spans="1:8" ht="13.15" customHeight="1" x14ac:dyDescent="0.2">
      <c r="A165" s="380" t="s">
        <v>1347</v>
      </c>
      <c r="B165" s="12" t="s">
        <v>930</v>
      </c>
      <c r="C165" s="19" t="s">
        <v>718</v>
      </c>
      <c r="D165" s="381">
        <v>316</v>
      </c>
      <c r="E165" s="19" t="s">
        <v>701</v>
      </c>
      <c r="F165" s="53" t="s">
        <v>1348</v>
      </c>
      <c r="G165" s="12" t="s">
        <v>1349</v>
      </c>
      <c r="H165" s="382" t="s">
        <v>1350</v>
      </c>
    </row>
    <row r="166" spans="1:8" ht="13.15" customHeight="1" x14ac:dyDescent="0.2">
      <c r="A166" s="380" t="s">
        <v>1351</v>
      </c>
      <c r="B166" s="12" t="s">
        <v>1352</v>
      </c>
      <c r="C166" s="19" t="s">
        <v>718</v>
      </c>
      <c r="D166" s="389">
        <v>317</v>
      </c>
      <c r="E166" s="19" t="s">
        <v>1326</v>
      </c>
      <c r="F166" s="12"/>
      <c r="G166" s="12" t="s">
        <v>1353</v>
      </c>
      <c r="H166" s="382" t="s">
        <v>1354</v>
      </c>
    </row>
    <row r="167" spans="1:8" ht="13.15" customHeight="1" x14ac:dyDescent="0.2">
      <c r="A167" s="380" t="s">
        <v>1355</v>
      </c>
      <c r="B167" s="12" t="s">
        <v>1356</v>
      </c>
      <c r="C167" s="19" t="s">
        <v>756</v>
      </c>
      <c r="D167" s="389">
        <v>318</v>
      </c>
      <c r="E167" s="19" t="s">
        <v>1326</v>
      </c>
      <c r="F167" s="53" t="s">
        <v>1357</v>
      </c>
      <c r="G167" s="12" t="s">
        <v>1358</v>
      </c>
      <c r="H167" s="382" t="s">
        <v>1359</v>
      </c>
    </row>
    <row r="168" spans="1:8" ht="13.15" customHeight="1" x14ac:dyDescent="0.2">
      <c r="A168" s="380" t="s">
        <v>1360</v>
      </c>
      <c r="B168" s="12" t="s">
        <v>1361</v>
      </c>
      <c r="C168" s="19" t="s">
        <v>700</v>
      </c>
      <c r="D168" s="381">
        <v>319</v>
      </c>
      <c r="E168" s="19" t="s">
        <v>701</v>
      </c>
      <c r="F168" s="12">
        <v>62779</v>
      </c>
      <c r="G168" s="12">
        <v>733964</v>
      </c>
      <c r="H168" s="382" t="s">
        <v>1362</v>
      </c>
    </row>
    <row r="169" spans="1:8" ht="13.15" customHeight="1" x14ac:dyDescent="0.2">
      <c r="A169" s="380" t="s">
        <v>1363</v>
      </c>
      <c r="B169" s="12" t="s">
        <v>1258</v>
      </c>
      <c r="C169" s="19" t="s">
        <v>1080</v>
      </c>
      <c r="D169" s="389">
        <v>320</v>
      </c>
      <c r="E169" s="19" t="s">
        <v>1326</v>
      </c>
      <c r="F169" s="12" t="s">
        <v>1364</v>
      </c>
      <c r="G169" s="12" t="s">
        <v>1365</v>
      </c>
      <c r="H169" s="382" t="s">
        <v>1366</v>
      </c>
    </row>
    <row r="170" spans="1:8" ht="13.15" customHeight="1" x14ac:dyDescent="0.2">
      <c r="A170" s="380" t="s">
        <v>1367</v>
      </c>
      <c r="B170" s="12" t="s">
        <v>16</v>
      </c>
      <c r="C170" s="19" t="s">
        <v>718</v>
      </c>
      <c r="D170" s="389">
        <v>321</v>
      </c>
      <c r="E170" s="19" t="s">
        <v>1326</v>
      </c>
      <c r="F170" s="12"/>
      <c r="G170" s="53" t="s">
        <v>1368</v>
      </c>
      <c r="H170" s="382" t="s">
        <v>1369</v>
      </c>
    </row>
    <row r="171" spans="1:8" ht="13.15" customHeight="1" x14ac:dyDescent="0.2">
      <c r="A171" s="380" t="s">
        <v>1370</v>
      </c>
      <c r="B171" s="12" t="s">
        <v>16</v>
      </c>
      <c r="C171" s="19" t="s">
        <v>718</v>
      </c>
      <c r="D171" s="389">
        <v>322</v>
      </c>
      <c r="E171" s="19" t="s">
        <v>1326</v>
      </c>
      <c r="F171" s="12"/>
      <c r="G171" s="53" t="s">
        <v>1371</v>
      </c>
      <c r="H171" s="382" t="s">
        <v>1372</v>
      </c>
    </row>
    <row r="172" spans="1:8" ht="13.15" customHeight="1" x14ac:dyDescent="0.2">
      <c r="A172" s="380" t="s">
        <v>1373</v>
      </c>
      <c r="B172" s="12" t="s">
        <v>1331</v>
      </c>
      <c r="C172" s="19" t="s">
        <v>700</v>
      </c>
      <c r="D172" s="389">
        <v>323</v>
      </c>
      <c r="E172" s="19" t="s">
        <v>1326</v>
      </c>
      <c r="F172" s="12" t="s">
        <v>1374</v>
      </c>
      <c r="G172" s="12" t="s">
        <v>1375</v>
      </c>
      <c r="H172" s="382" t="s">
        <v>1376</v>
      </c>
    </row>
    <row r="173" spans="1:8" ht="13.15" customHeight="1" x14ac:dyDescent="0.2">
      <c r="A173" s="380" t="s">
        <v>1377</v>
      </c>
      <c r="B173" s="12" t="s">
        <v>1378</v>
      </c>
      <c r="C173" s="19" t="s">
        <v>718</v>
      </c>
      <c r="D173" s="389">
        <v>324</v>
      </c>
      <c r="E173" s="19" t="s">
        <v>1326</v>
      </c>
      <c r="F173" s="12"/>
      <c r="G173" s="12" t="s">
        <v>1379</v>
      </c>
      <c r="H173" s="382" t="s">
        <v>1380</v>
      </c>
    </row>
    <row r="174" spans="1:8" ht="13.15" customHeight="1" x14ac:dyDescent="0.2">
      <c r="A174" s="380" t="s">
        <v>1381</v>
      </c>
      <c r="B174" s="12" t="s">
        <v>1382</v>
      </c>
      <c r="C174" s="19" t="s">
        <v>700</v>
      </c>
      <c r="D174" s="381">
        <v>325</v>
      </c>
      <c r="E174" s="19" t="s">
        <v>701</v>
      </c>
      <c r="F174" s="12" t="s">
        <v>1383</v>
      </c>
      <c r="G174" s="12" t="s">
        <v>1384</v>
      </c>
      <c r="H174" s="382" t="s">
        <v>1254</v>
      </c>
    </row>
    <row r="175" spans="1:8" ht="13.15" customHeight="1" x14ac:dyDescent="0.2">
      <c r="A175" s="380" t="s">
        <v>1385</v>
      </c>
      <c r="B175" s="12" t="s">
        <v>1386</v>
      </c>
      <c r="C175" s="54" t="s">
        <v>756</v>
      </c>
      <c r="D175" s="384">
        <v>328</v>
      </c>
      <c r="E175" s="19" t="s">
        <v>1146</v>
      </c>
      <c r="F175" s="12"/>
      <c r="G175" s="12"/>
      <c r="H175" s="382"/>
    </row>
    <row r="176" spans="1:8" ht="13.15" customHeight="1" x14ac:dyDescent="0.2">
      <c r="A176" s="380" t="s">
        <v>600</v>
      </c>
      <c r="B176" s="12" t="s">
        <v>1387</v>
      </c>
      <c r="C176" s="19" t="s">
        <v>257</v>
      </c>
      <c r="D176" s="384">
        <v>329</v>
      </c>
      <c r="E176" s="19" t="s">
        <v>1388</v>
      </c>
      <c r="F176" s="53" t="s">
        <v>1389</v>
      </c>
      <c r="G176" s="12" t="s">
        <v>1390</v>
      </c>
      <c r="H176" s="382" t="s">
        <v>1391</v>
      </c>
    </row>
    <row r="177" spans="1:8" ht="13.15" customHeight="1" x14ac:dyDescent="0.2">
      <c r="A177" s="380" t="s">
        <v>1392</v>
      </c>
      <c r="B177" s="12" t="s">
        <v>1393</v>
      </c>
      <c r="C177" s="19" t="s">
        <v>700</v>
      </c>
      <c r="D177" s="381">
        <v>400</v>
      </c>
      <c r="E177" s="19" t="s">
        <v>701</v>
      </c>
      <c r="F177" s="12" t="s">
        <v>1394</v>
      </c>
      <c r="G177" s="12" t="s">
        <v>1395</v>
      </c>
      <c r="H177" s="382" t="s">
        <v>1396</v>
      </c>
    </row>
    <row r="178" spans="1:8" ht="13.15" customHeight="1" x14ac:dyDescent="0.2">
      <c r="A178" s="380" t="s">
        <v>1397</v>
      </c>
      <c r="B178" s="12" t="s">
        <v>1398</v>
      </c>
      <c r="C178" s="19" t="s">
        <v>741</v>
      </c>
      <c r="D178" s="381">
        <v>401</v>
      </c>
      <c r="E178" s="19" t="s">
        <v>701</v>
      </c>
      <c r="F178" s="53" t="s">
        <v>1399</v>
      </c>
      <c r="G178" s="53" t="s">
        <v>1400</v>
      </c>
      <c r="H178" s="382" t="s">
        <v>1401</v>
      </c>
    </row>
    <row r="179" spans="1:8" ht="13.9" customHeight="1" x14ac:dyDescent="0.2">
      <c r="A179" s="380" t="s">
        <v>1402</v>
      </c>
      <c r="B179" s="12" t="s">
        <v>1398</v>
      </c>
      <c r="C179" s="19" t="s">
        <v>741</v>
      </c>
      <c r="D179" s="381">
        <v>402</v>
      </c>
      <c r="E179" s="19" t="s">
        <v>701</v>
      </c>
      <c r="F179" s="12" t="s">
        <v>1403</v>
      </c>
      <c r="G179" s="12" t="s">
        <v>1404</v>
      </c>
      <c r="H179" s="382" t="s">
        <v>1366</v>
      </c>
    </row>
    <row r="180" spans="1:8" ht="13.15" customHeight="1" x14ac:dyDescent="0.2">
      <c r="A180" s="380" t="s">
        <v>1405</v>
      </c>
      <c r="B180" s="12" t="s">
        <v>1054</v>
      </c>
      <c r="C180" s="19" t="s">
        <v>700</v>
      </c>
      <c r="D180" s="381">
        <v>403</v>
      </c>
      <c r="E180" s="19" t="s">
        <v>701</v>
      </c>
      <c r="F180" s="12" t="s">
        <v>1406</v>
      </c>
      <c r="G180" s="12" t="s">
        <v>1407</v>
      </c>
      <c r="H180" s="382" t="s">
        <v>1408</v>
      </c>
    </row>
    <row r="181" spans="1:8" ht="13.15" customHeight="1" x14ac:dyDescent="0.2">
      <c r="A181" s="380" t="s">
        <v>1409</v>
      </c>
      <c r="B181" s="12" t="s">
        <v>861</v>
      </c>
      <c r="C181" s="19" t="s">
        <v>700</v>
      </c>
      <c r="D181" s="381">
        <v>404</v>
      </c>
      <c r="E181" s="19" t="s">
        <v>701</v>
      </c>
      <c r="F181" s="12" t="s">
        <v>1410</v>
      </c>
      <c r="G181" s="12" t="s">
        <v>1411</v>
      </c>
      <c r="H181" s="382" t="s">
        <v>1412</v>
      </c>
    </row>
    <row r="182" spans="1:8" ht="13.15" customHeight="1" x14ac:dyDescent="0.2">
      <c r="A182" s="380" t="s">
        <v>1413</v>
      </c>
      <c r="B182" s="12" t="s">
        <v>717</v>
      </c>
      <c r="C182" s="19" t="s">
        <v>718</v>
      </c>
      <c r="D182" s="384">
        <v>405</v>
      </c>
      <c r="E182" s="19" t="s">
        <v>792</v>
      </c>
      <c r="F182" s="12"/>
      <c r="G182" s="12" t="s">
        <v>1414</v>
      </c>
      <c r="H182" s="382" t="s">
        <v>1415</v>
      </c>
    </row>
    <row r="183" spans="1:8" ht="13.15" customHeight="1" x14ac:dyDescent="0.2">
      <c r="A183" s="380" t="s">
        <v>1416</v>
      </c>
      <c r="B183" s="12" t="s">
        <v>1417</v>
      </c>
      <c r="C183" s="19" t="s">
        <v>700</v>
      </c>
      <c r="D183" s="381">
        <v>406</v>
      </c>
      <c r="E183" s="19" t="s">
        <v>701</v>
      </c>
      <c r="F183" s="12" t="s">
        <v>1418</v>
      </c>
      <c r="G183" s="12" t="s">
        <v>1419</v>
      </c>
      <c r="H183" s="382" t="s">
        <v>1420</v>
      </c>
    </row>
    <row r="184" spans="1:8" ht="13.9" customHeight="1" x14ac:dyDescent="0.2">
      <c r="A184" s="380" t="s">
        <v>1421</v>
      </c>
      <c r="B184" s="12" t="s">
        <v>1422</v>
      </c>
      <c r="C184" s="19" t="s">
        <v>1080</v>
      </c>
      <c r="D184" s="381">
        <v>407</v>
      </c>
      <c r="E184" s="19" t="s">
        <v>701</v>
      </c>
      <c r="F184" s="12" t="s">
        <v>1423</v>
      </c>
      <c r="G184" s="12" t="s">
        <v>1424</v>
      </c>
      <c r="H184" s="382" t="s">
        <v>1254</v>
      </c>
    </row>
    <row r="185" spans="1:8" ht="13.15" customHeight="1" x14ac:dyDescent="0.2">
      <c r="A185" s="380" t="s">
        <v>1425</v>
      </c>
      <c r="B185" s="12" t="s">
        <v>1145</v>
      </c>
      <c r="C185" s="19" t="s">
        <v>741</v>
      </c>
      <c r="D185" s="384">
        <v>408</v>
      </c>
      <c r="E185" s="19" t="s">
        <v>792</v>
      </c>
      <c r="F185" s="53" t="s">
        <v>1426</v>
      </c>
      <c r="G185" s="12" t="s">
        <v>1427</v>
      </c>
      <c r="H185" s="382" t="s">
        <v>1428</v>
      </c>
    </row>
    <row r="186" spans="1:8" ht="13.15" customHeight="1" x14ac:dyDescent="0.2">
      <c r="A186" s="380" t="s">
        <v>1429</v>
      </c>
      <c r="B186" s="12" t="s">
        <v>1430</v>
      </c>
      <c r="C186" s="19" t="s">
        <v>700</v>
      </c>
      <c r="D186" s="381">
        <v>409</v>
      </c>
      <c r="E186" s="19" t="s">
        <v>701</v>
      </c>
      <c r="F186" s="12" t="s">
        <v>1431</v>
      </c>
      <c r="G186" s="12" t="s">
        <v>1432</v>
      </c>
      <c r="H186" s="382" t="s">
        <v>1261</v>
      </c>
    </row>
    <row r="187" spans="1:8" ht="13.9" customHeight="1" x14ac:dyDescent="0.2">
      <c r="A187" s="386" t="s">
        <v>1433</v>
      </c>
      <c r="B187" s="61" t="s">
        <v>1434</v>
      </c>
      <c r="C187" s="54" t="s">
        <v>969</v>
      </c>
      <c r="D187" s="381">
        <v>410</v>
      </c>
      <c r="E187" s="19" t="s">
        <v>701</v>
      </c>
      <c r="F187" s="61"/>
      <c r="G187" s="61" t="s">
        <v>1435</v>
      </c>
      <c r="H187" s="387" t="s">
        <v>1436</v>
      </c>
    </row>
    <row r="188" spans="1:8" x14ac:dyDescent="0.2">
      <c r="A188" s="380" t="s">
        <v>134</v>
      </c>
      <c r="B188" s="12" t="s">
        <v>1437</v>
      </c>
      <c r="C188" s="390" t="s">
        <v>756</v>
      </c>
      <c r="D188" s="384">
        <v>411</v>
      </c>
      <c r="E188" s="388" t="s">
        <v>305</v>
      </c>
      <c r="F188" s="12" t="s">
        <v>1438</v>
      </c>
      <c r="G188" s="12" t="s">
        <v>1439</v>
      </c>
      <c r="H188" s="382" t="s">
        <v>1440</v>
      </c>
    </row>
    <row r="189" spans="1:8" x14ac:dyDescent="0.2">
      <c r="A189" s="380" t="s">
        <v>135</v>
      </c>
      <c r="B189" s="12" t="s">
        <v>1437</v>
      </c>
      <c r="C189" s="390" t="s">
        <v>756</v>
      </c>
      <c r="D189" s="384">
        <v>412</v>
      </c>
      <c r="E189" s="388" t="s">
        <v>305</v>
      </c>
      <c r="F189" s="12" t="s">
        <v>1441</v>
      </c>
      <c r="G189" s="12" t="s">
        <v>1442</v>
      </c>
      <c r="H189" s="382" t="s">
        <v>1443</v>
      </c>
    </row>
    <row r="190" spans="1:8" x14ac:dyDescent="0.2">
      <c r="A190" s="380" t="s">
        <v>136</v>
      </c>
      <c r="B190" s="12" t="s">
        <v>1437</v>
      </c>
      <c r="C190" s="390" t="s">
        <v>756</v>
      </c>
      <c r="D190" s="384">
        <v>413</v>
      </c>
      <c r="E190" s="388" t="s">
        <v>305</v>
      </c>
      <c r="F190" s="12" t="s">
        <v>1444</v>
      </c>
      <c r="G190" s="12" t="s">
        <v>1445</v>
      </c>
      <c r="H190" s="382" t="s">
        <v>1443</v>
      </c>
    </row>
    <row r="191" spans="1:8" x14ac:dyDescent="0.2">
      <c r="A191" s="380" t="s">
        <v>137</v>
      </c>
      <c r="B191" s="12" t="s">
        <v>1437</v>
      </c>
      <c r="C191" s="390" t="s">
        <v>756</v>
      </c>
      <c r="D191" s="384">
        <v>414</v>
      </c>
      <c r="E191" s="388" t="s">
        <v>305</v>
      </c>
      <c r="F191" s="12" t="s">
        <v>1446</v>
      </c>
      <c r="G191" s="12" t="s">
        <v>1447</v>
      </c>
      <c r="H191" s="382" t="s">
        <v>1448</v>
      </c>
    </row>
    <row r="192" spans="1:8" x14ac:dyDescent="0.2">
      <c r="A192" s="380" t="s">
        <v>138</v>
      </c>
      <c r="B192" s="12" t="s">
        <v>1437</v>
      </c>
      <c r="C192" s="390" t="s">
        <v>756</v>
      </c>
      <c r="D192" s="384">
        <v>415</v>
      </c>
      <c r="E192" s="388" t="s">
        <v>305</v>
      </c>
      <c r="F192" s="12" t="s">
        <v>1449</v>
      </c>
      <c r="G192" s="12" t="s">
        <v>1450</v>
      </c>
      <c r="H192" s="382" t="s">
        <v>1451</v>
      </c>
    </row>
    <row r="193" spans="1:8" x14ac:dyDescent="0.2">
      <c r="A193" s="380" t="s">
        <v>139</v>
      </c>
      <c r="B193" s="12" t="s">
        <v>1437</v>
      </c>
      <c r="C193" s="390" t="s">
        <v>756</v>
      </c>
      <c r="D193" s="384">
        <v>416</v>
      </c>
      <c r="E193" s="388" t="s">
        <v>305</v>
      </c>
      <c r="F193" s="12" t="s">
        <v>1452</v>
      </c>
      <c r="G193" s="12" t="s">
        <v>1453</v>
      </c>
      <c r="H193" s="382" t="s">
        <v>1451</v>
      </c>
    </row>
    <row r="194" spans="1:8" x14ac:dyDescent="0.2">
      <c r="A194" s="380" t="s">
        <v>1454</v>
      </c>
      <c r="B194" s="12" t="s">
        <v>1455</v>
      </c>
      <c r="C194" s="390" t="s">
        <v>756</v>
      </c>
      <c r="D194" s="384">
        <v>417</v>
      </c>
      <c r="E194" s="54"/>
      <c r="F194" s="12" t="s">
        <v>1456</v>
      </c>
      <c r="G194" s="12" t="s">
        <v>1457</v>
      </c>
      <c r="H194" s="382" t="s">
        <v>1458</v>
      </c>
    </row>
    <row r="195" spans="1:8" x14ac:dyDescent="0.2">
      <c r="A195" s="380" t="s">
        <v>1459</v>
      </c>
      <c r="B195" s="12" t="s">
        <v>1460</v>
      </c>
      <c r="C195" s="390" t="s">
        <v>756</v>
      </c>
      <c r="D195" s="384">
        <v>418</v>
      </c>
      <c r="E195" s="388" t="s">
        <v>305</v>
      </c>
      <c r="F195" s="12" t="s">
        <v>1461</v>
      </c>
      <c r="G195" s="12" t="s">
        <v>1462</v>
      </c>
      <c r="H195" s="382" t="s">
        <v>1458</v>
      </c>
    </row>
    <row r="196" spans="1:8" x14ac:dyDescent="0.2">
      <c r="A196" s="380" t="s">
        <v>1463</v>
      </c>
      <c r="B196" s="12" t="s">
        <v>1455</v>
      </c>
      <c r="C196" s="390" t="s">
        <v>756</v>
      </c>
      <c r="D196" s="384">
        <v>419</v>
      </c>
      <c r="E196" s="54"/>
      <c r="F196" s="12" t="s">
        <v>1464</v>
      </c>
      <c r="G196" s="12" t="s">
        <v>1465</v>
      </c>
      <c r="H196" s="382" t="s">
        <v>1458</v>
      </c>
    </row>
    <row r="197" spans="1:8" x14ac:dyDescent="0.2">
      <c r="A197" s="380" t="s">
        <v>239</v>
      </c>
      <c r="B197" s="12" t="s">
        <v>1466</v>
      </c>
      <c r="C197" s="390" t="s">
        <v>969</v>
      </c>
      <c r="D197" s="384">
        <v>420</v>
      </c>
      <c r="E197" s="388" t="s">
        <v>62</v>
      </c>
      <c r="F197" s="12" t="s">
        <v>1467</v>
      </c>
      <c r="G197" s="12" t="s">
        <v>1468</v>
      </c>
      <c r="H197" s="382" t="s">
        <v>1469</v>
      </c>
    </row>
    <row r="198" spans="1:8" ht="12" thickBot="1" x14ac:dyDescent="0.25">
      <c r="A198" s="391" t="s">
        <v>240</v>
      </c>
      <c r="B198" s="392" t="s">
        <v>1466</v>
      </c>
      <c r="C198" s="393" t="s">
        <v>969</v>
      </c>
      <c r="D198" s="394">
        <v>421</v>
      </c>
      <c r="E198" s="395" t="s">
        <v>62</v>
      </c>
      <c r="F198" s="392" t="s">
        <v>1470</v>
      </c>
      <c r="G198" s="392" t="s">
        <v>1471</v>
      </c>
      <c r="H198" s="396" t="s">
        <v>1469</v>
      </c>
    </row>
  </sheetData>
  <autoFilter ref="A1:AN198"/>
  <customSheetViews>
    <customSheetView guid="{6DF61089-79B2-41AA-A0E5-3D263EEF5CE4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3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140625" defaultRowHeight="12.75" x14ac:dyDescent="0.2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 x14ac:dyDescent="0.2">
      <c r="A1" s="202" t="s">
        <v>543</v>
      </c>
      <c r="B1" s="202" t="s">
        <v>289</v>
      </c>
      <c r="C1" s="298" t="s">
        <v>290</v>
      </c>
      <c r="D1" s="308" t="s">
        <v>245</v>
      </c>
      <c r="E1" s="202" t="s">
        <v>291</v>
      </c>
      <c r="F1" s="202" t="s">
        <v>292</v>
      </c>
      <c r="G1" s="202" t="s">
        <v>293</v>
      </c>
      <c r="H1" s="202"/>
      <c r="I1" s="203" t="s">
        <v>294</v>
      </c>
      <c r="J1" s="203" t="s">
        <v>295</v>
      </c>
      <c r="K1" s="204" t="s">
        <v>296</v>
      </c>
      <c r="L1" s="205" t="s">
        <v>297</v>
      </c>
      <c r="M1" s="206" t="s">
        <v>298</v>
      </c>
      <c r="N1" s="207" t="s">
        <v>299</v>
      </c>
      <c r="O1" s="208" t="s">
        <v>300</v>
      </c>
      <c r="P1" s="209" t="s">
        <v>301</v>
      </c>
      <c r="Q1" s="210" t="s">
        <v>302</v>
      </c>
      <c r="R1" s="297" t="s">
        <v>595</v>
      </c>
      <c r="S1" s="293" t="s">
        <v>591</v>
      </c>
      <c r="T1" s="210" t="s">
        <v>1489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 x14ac:dyDescent="0.2">
      <c r="A2" s="212" t="s">
        <v>334</v>
      </c>
      <c r="B2" s="212" t="s">
        <v>216</v>
      </c>
      <c r="C2" s="288" t="s">
        <v>637</v>
      </c>
      <c r="D2" s="309" t="s">
        <v>244</v>
      </c>
      <c r="E2" s="212" t="s">
        <v>303</v>
      </c>
      <c r="F2" s="213">
        <v>2931.11</v>
      </c>
      <c r="G2" s="214">
        <f>+F2*12</f>
        <v>35173.32</v>
      </c>
      <c r="H2" s="215" t="s">
        <v>307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590</v>
      </c>
      <c r="S2" s="289">
        <v>151283.22</v>
      </c>
    </row>
    <row r="3" spans="1:51" x14ac:dyDescent="0.2">
      <c r="A3" s="222" t="s">
        <v>304</v>
      </c>
      <c r="B3" s="222" t="s">
        <v>202</v>
      </c>
      <c r="C3" s="288" t="s">
        <v>638</v>
      </c>
      <c r="D3" s="310" t="s">
        <v>305</v>
      </c>
      <c r="E3" s="222" t="s">
        <v>306</v>
      </c>
      <c r="F3" s="223">
        <v>3684.87</v>
      </c>
      <c r="G3" s="223">
        <f t="shared" ref="G3:G28" si="0">+F3*12</f>
        <v>44218.44</v>
      </c>
      <c r="H3" s="224" t="s">
        <v>307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565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 x14ac:dyDescent="0.2">
      <c r="A4" s="232" t="s">
        <v>308</v>
      </c>
      <c r="B4" s="232" t="s">
        <v>203</v>
      </c>
      <c r="C4" s="299" t="s">
        <v>639</v>
      </c>
      <c r="D4" s="310" t="s">
        <v>305</v>
      </c>
      <c r="E4" s="232" t="s">
        <v>309</v>
      </c>
      <c r="F4" s="233">
        <v>3596.62</v>
      </c>
      <c r="G4" s="233">
        <f t="shared" si="0"/>
        <v>43159.44</v>
      </c>
      <c r="H4" s="224" t="s">
        <v>307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566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 x14ac:dyDescent="0.2">
      <c r="A5" s="232" t="s">
        <v>310</v>
      </c>
      <c r="B5" s="232" t="s">
        <v>204</v>
      </c>
      <c r="C5" s="299" t="s">
        <v>639</v>
      </c>
      <c r="D5" s="311" t="s">
        <v>305</v>
      </c>
      <c r="E5" s="232" t="s">
        <v>309</v>
      </c>
      <c r="F5" s="233">
        <v>3596.62</v>
      </c>
      <c r="G5" s="233">
        <f t="shared" si="0"/>
        <v>43159.44</v>
      </c>
      <c r="H5" s="224" t="s">
        <v>307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567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 x14ac:dyDescent="0.2">
      <c r="A6" s="232" t="s">
        <v>312</v>
      </c>
      <c r="B6" s="232" t="s">
        <v>205</v>
      </c>
      <c r="C6" s="299" t="s">
        <v>639</v>
      </c>
      <c r="D6" s="311" t="s">
        <v>305</v>
      </c>
      <c r="E6" s="232" t="s">
        <v>309</v>
      </c>
      <c r="F6" s="233">
        <v>3596.62</v>
      </c>
      <c r="G6" s="233">
        <f t="shared" si="0"/>
        <v>43159.44</v>
      </c>
      <c r="H6" s="224" t="s">
        <v>307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568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 x14ac:dyDescent="0.2">
      <c r="A7" s="232" t="s">
        <v>327</v>
      </c>
      <c r="B7" s="232" t="s">
        <v>213</v>
      </c>
      <c r="C7" s="299" t="s">
        <v>639</v>
      </c>
      <c r="D7" s="310" t="s">
        <v>305</v>
      </c>
      <c r="E7" s="232" t="s">
        <v>309</v>
      </c>
      <c r="F7" s="233">
        <v>3596.62</v>
      </c>
      <c r="G7" s="233">
        <f t="shared" si="0"/>
        <v>43159.44</v>
      </c>
      <c r="H7" s="224" t="s">
        <v>307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569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 x14ac:dyDescent="0.2">
      <c r="A8" s="232" t="s">
        <v>404</v>
      </c>
      <c r="B8" s="232" t="s">
        <v>405</v>
      </c>
      <c r="C8" s="299" t="s">
        <v>639</v>
      </c>
      <c r="D8" s="310" t="s">
        <v>305</v>
      </c>
      <c r="E8" s="232" t="s">
        <v>309</v>
      </c>
      <c r="F8" s="233">
        <v>3596.62</v>
      </c>
      <c r="G8" s="233">
        <f t="shared" si="0"/>
        <v>43159.44</v>
      </c>
      <c r="H8" s="224" t="s">
        <v>307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570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 x14ac:dyDescent="0.2">
      <c r="A9" s="234" t="s">
        <v>317</v>
      </c>
      <c r="B9" s="235" t="s">
        <v>207</v>
      </c>
      <c r="C9" s="288" t="s">
        <v>640</v>
      </c>
      <c r="D9" s="312" t="s">
        <v>130</v>
      </c>
      <c r="E9" s="235" t="s">
        <v>318</v>
      </c>
      <c r="F9" s="236">
        <v>3437.09</v>
      </c>
      <c r="G9" s="236">
        <f t="shared" si="0"/>
        <v>41245.08</v>
      </c>
      <c r="H9" s="224" t="s">
        <v>307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571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 x14ac:dyDescent="0.2">
      <c r="A10" s="234" t="s">
        <v>320</v>
      </c>
      <c r="B10" s="235" t="s">
        <v>208</v>
      </c>
      <c r="C10" s="288" t="s">
        <v>640</v>
      </c>
      <c r="D10" s="312" t="s">
        <v>130</v>
      </c>
      <c r="E10" s="235" t="s">
        <v>318</v>
      </c>
      <c r="F10" s="236">
        <v>3437.09</v>
      </c>
      <c r="G10" s="236">
        <f t="shared" si="0"/>
        <v>41245.08</v>
      </c>
      <c r="H10" s="224" t="s">
        <v>307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572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 x14ac:dyDescent="0.2">
      <c r="A11" s="234" t="s">
        <v>321</v>
      </c>
      <c r="B11" s="235" t="s">
        <v>209</v>
      </c>
      <c r="C11" s="288" t="s">
        <v>645</v>
      </c>
      <c r="D11" s="312" t="s">
        <v>132</v>
      </c>
      <c r="E11" s="235" t="s">
        <v>318</v>
      </c>
      <c r="F11" s="236">
        <v>3437.09</v>
      </c>
      <c r="G11" s="236">
        <f t="shared" si="0"/>
        <v>41245.08</v>
      </c>
      <c r="H11" s="224" t="s">
        <v>307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602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 x14ac:dyDescent="0.2">
      <c r="A12" s="234" t="s">
        <v>323</v>
      </c>
      <c r="B12" s="235" t="s">
        <v>210</v>
      </c>
      <c r="C12" s="288" t="s">
        <v>1504</v>
      </c>
      <c r="D12" s="311" t="s">
        <v>1505</v>
      </c>
      <c r="E12" s="235" t="s">
        <v>318</v>
      </c>
      <c r="F12" s="236">
        <v>3437.09</v>
      </c>
      <c r="G12" s="236">
        <f t="shared" si="0"/>
        <v>41245.08</v>
      </c>
      <c r="H12" s="224" t="s">
        <v>307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573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 x14ac:dyDescent="0.2">
      <c r="A13" s="234" t="s">
        <v>325</v>
      </c>
      <c r="B13" s="235" t="s">
        <v>211</v>
      </c>
      <c r="C13" s="288" t="s">
        <v>641</v>
      </c>
      <c r="D13" s="312" t="s">
        <v>131</v>
      </c>
      <c r="E13" s="235" t="s">
        <v>318</v>
      </c>
      <c r="F13" s="236">
        <v>3437.09</v>
      </c>
      <c r="G13" s="236">
        <f t="shared" si="0"/>
        <v>41245.08</v>
      </c>
      <c r="H13" s="224" t="s">
        <v>307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574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 x14ac:dyDescent="0.2">
      <c r="A14" s="234" t="s">
        <v>326</v>
      </c>
      <c r="B14" s="235" t="s">
        <v>212</v>
      </c>
      <c r="C14" s="288" t="s">
        <v>636</v>
      </c>
      <c r="D14" s="312" t="s">
        <v>116</v>
      </c>
      <c r="E14" s="235" t="s">
        <v>318</v>
      </c>
      <c r="F14" s="236">
        <v>3437.09</v>
      </c>
      <c r="G14" s="236">
        <f t="shared" si="0"/>
        <v>41245.08</v>
      </c>
      <c r="H14" s="224" t="s">
        <v>307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575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 x14ac:dyDescent="0.2">
      <c r="A15" s="234" t="s">
        <v>329</v>
      </c>
      <c r="B15" s="235" t="s">
        <v>215</v>
      </c>
      <c r="C15" s="288" t="s">
        <v>643</v>
      </c>
      <c r="D15" s="312" t="s">
        <v>104</v>
      </c>
      <c r="E15" s="235" t="s">
        <v>318</v>
      </c>
      <c r="F15" s="236">
        <v>3437.09</v>
      </c>
      <c r="G15" s="236">
        <f t="shared" si="0"/>
        <v>41245.08</v>
      </c>
      <c r="H15" s="224" t="s">
        <v>307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576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 x14ac:dyDescent="0.2">
      <c r="A16" s="234" t="s">
        <v>387</v>
      </c>
      <c r="B16" s="235" t="s">
        <v>388</v>
      </c>
      <c r="C16" s="288" t="s">
        <v>640</v>
      </c>
      <c r="D16" s="311" t="s">
        <v>130</v>
      </c>
      <c r="E16" s="235" t="s">
        <v>318</v>
      </c>
      <c r="F16" s="236">
        <v>3437.09</v>
      </c>
      <c r="G16" s="236">
        <f t="shared" si="0"/>
        <v>41245.08</v>
      </c>
      <c r="H16" s="224" t="s">
        <v>307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577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 x14ac:dyDescent="0.2">
      <c r="A17" s="234" t="s">
        <v>389</v>
      </c>
      <c r="B17" s="235" t="s">
        <v>390</v>
      </c>
      <c r="C17" s="288" t="s">
        <v>644</v>
      </c>
      <c r="D17" s="311" t="s">
        <v>63</v>
      </c>
      <c r="E17" s="235" t="s">
        <v>318</v>
      </c>
      <c r="F17" s="236">
        <v>3437.09</v>
      </c>
      <c r="G17" s="236">
        <f t="shared" si="0"/>
        <v>41245.08</v>
      </c>
      <c r="H17" s="224" t="s">
        <v>307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578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 x14ac:dyDescent="0.2">
      <c r="A18" s="234" t="s">
        <v>391</v>
      </c>
      <c r="B18" s="235" t="s">
        <v>392</v>
      </c>
      <c r="C18" s="288" t="s">
        <v>645</v>
      </c>
      <c r="D18" s="312" t="s">
        <v>132</v>
      </c>
      <c r="E18" s="235" t="s">
        <v>318</v>
      </c>
      <c r="F18" s="236">
        <v>3437.09</v>
      </c>
      <c r="G18" s="236">
        <f t="shared" si="0"/>
        <v>41245.08</v>
      </c>
      <c r="H18" s="224" t="s">
        <v>307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579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 x14ac:dyDescent="0.2">
      <c r="A19" s="234" t="s">
        <v>393</v>
      </c>
      <c r="B19" s="235" t="s">
        <v>394</v>
      </c>
      <c r="C19" s="288" t="s">
        <v>645</v>
      </c>
      <c r="D19" s="312" t="s">
        <v>132</v>
      </c>
      <c r="E19" s="235" t="s">
        <v>318</v>
      </c>
      <c r="F19" s="236">
        <v>3437.09</v>
      </c>
      <c r="G19" s="236">
        <f t="shared" si="0"/>
        <v>41245.08</v>
      </c>
      <c r="H19" s="224" t="s">
        <v>307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580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 x14ac:dyDescent="0.2">
      <c r="A20" s="234" t="s">
        <v>406</v>
      </c>
      <c r="B20" s="235" t="s">
        <v>407</v>
      </c>
      <c r="C20" s="288" t="s">
        <v>646</v>
      </c>
      <c r="D20" s="310" t="s">
        <v>64</v>
      </c>
      <c r="E20" s="235" t="s">
        <v>318</v>
      </c>
      <c r="F20" s="236">
        <v>3437.09</v>
      </c>
      <c r="G20" s="236">
        <f t="shared" si="0"/>
        <v>41245.08</v>
      </c>
      <c r="H20" s="224" t="s">
        <v>307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581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 x14ac:dyDescent="0.2">
      <c r="A21" s="234" t="s">
        <v>408</v>
      </c>
      <c r="B21" s="235" t="s">
        <v>409</v>
      </c>
      <c r="C21" s="288" t="s">
        <v>644</v>
      </c>
      <c r="D21" s="312" t="s">
        <v>63</v>
      </c>
      <c r="E21" s="235" t="s">
        <v>318</v>
      </c>
      <c r="F21" s="236">
        <v>3437.09</v>
      </c>
      <c r="G21" s="236">
        <f t="shared" si="0"/>
        <v>41245.08</v>
      </c>
      <c r="H21" s="224" t="s">
        <v>307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582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 x14ac:dyDescent="0.2">
      <c r="A22" s="234" t="s">
        <v>410</v>
      </c>
      <c r="B22" s="235" t="s">
        <v>411</v>
      </c>
      <c r="C22" s="288" t="s">
        <v>640</v>
      </c>
      <c r="D22" s="312" t="s">
        <v>130</v>
      </c>
      <c r="E22" s="235" t="s">
        <v>318</v>
      </c>
      <c r="F22" s="236">
        <v>3437.09</v>
      </c>
      <c r="G22" s="236">
        <f t="shared" si="0"/>
        <v>41245.08</v>
      </c>
      <c r="H22" s="224" t="s">
        <v>307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583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 x14ac:dyDescent="0.2">
      <c r="A23" s="234" t="s">
        <v>412</v>
      </c>
      <c r="B23" s="235" t="s">
        <v>413</v>
      </c>
      <c r="C23" s="288" t="s">
        <v>640</v>
      </c>
      <c r="D23" s="312" t="s">
        <v>130</v>
      </c>
      <c r="E23" s="235" t="s">
        <v>318</v>
      </c>
      <c r="F23" s="236">
        <v>3437.09</v>
      </c>
      <c r="G23" s="236">
        <f t="shared" si="0"/>
        <v>41245.08</v>
      </c>
      <c r="H23" s="224" t="s">
        <v>307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584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 x14ac:dyDescent="0.2">
      <c r="A24" s="234" t="s">
        <v>420</v>
      </c>
      <c r="B24" s="235" t="s">
        <v>421</v>
      </c>
      <c r="C24" s="288" t="s">
        <v>640</v>
      </c>
      <c r="D24" s="312" t="s">
        <v>130</v>
      </c>
      <c r="E24" s="235" t="s">
        <v>318</v>
      </c>
      <c r="F24" s="236">
        <v>3437.09</v>
      </c>
      <c r="G24" s="236">
        <f t="shared" si="0"/>
        <v>41245.08</v>
      </c>
      <c r="H24" s="224" t="s">
        <v>307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585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 x14ac:dyDescent="0.2">
      <c r="A25" s="234" t="s">
        <v>422</v>
      </c>
      <c r="B25" s="235" t="s">
        <v>423</v>
      </c>
      <c r="C25" s="288" t="s">
        <v>631</v>
      </c>
      <c r="D25" s="311" t="s">
        <v>197</v>
      </c>
      <c r="E25" s="235" t="s">
        <v>318</v>
      </c>
      <c r="F25" s="236">
        <v>3437.09</v>
      </c>
      <c r="G25" s="236">
        <f t="shared" si="0"/>
        <v>41245.08</v>
      </c>
      <c r="H25" s="224" t="s">
        <v>307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586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 x14ac:dyDescent="0.2">
      <c r="A26" s="234" t="s">
        <v>424</v>
      </c>
      <c r="B26" s="235" t="s">
        <v>425</v>
      </c>
      <c r="C26" s="288" t="s">
        <v>642</v>
      </c>
      <c r="D26" s="312" t="s">
        <v>632</v>
      </c>
      <c r="E26" s="235" t="s">
        <v>318</v>
      </c>
      <c r="F26" s="236">
        <v>3437.09</v>
      </c>
      <c r="G26" s="236">
        <f t="shared" si="0"/>
        <v>41245.08</v>
      </c>
      <c r="H26" s="224" t="s">
        <v>307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587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 x14ac:dyDescent="0.2">
      <c r="A27" s="234" t="s">
        <v>426</v>
      </c>
      <c r="B27" s="235" t="s">
        <v>427</v>
      </c>
      <c r="C27" s="288" t="s">
        <v>643</v>
      </c>
      <c r="D27" s="312" t="s">
        <v>104</v>
      </c>
      <c r="E27" s="235" t="s">
        <v>318</v>
      </c>
      <c r="F27" s="236">
        <v>3437.09</v>
      </c>
      <c r="G27" s="236">
        <f t="shared" si="0"/>
        <v>41245.08</v>
      </c>
      <c r="H27" s="224" t="s">
        <v>307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588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 x14ac:dyDescent="0.2">
      <c r="A28" s="234" t="s">
        <v>428</v>
      </c>
      <c r="B28" s="235" t="s">
        <v>429</v>
      </c>
      <c r="C28" s="288" t="s">
        <v>634</v>
      </c>
      <c r="D28" s="312" t="s">
        <v>117</v>
      </c>
      <c r="E28" s="235" t="s">
        <v>318</v>
      </c>
      <c r="F28" s="236">
        <v>3437.09</v>
      </c>
      <c r="G28" s="236">
        <f t="shared" si="0"/>
        <v>41245.08</v>
      </c>
      <c r="H28" s="224" t="s">
        <v>307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589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 x14ac:dyDescent="0.2">
      <c r="A29" s="239" t="s">
        <v>331</v>
      </c>
      <c r="B29" s="239" t="s">
        <v>217</v>
      </c>
      <c r="C29" s="285" t="s">
        <v>647</v>
      </c>
      <c r="D29" s="312" t="s">
        <v>632</v>
      </c>
      <c r="E29" s="239" t="s">
        <v>333</v>
      </c>
      <c r="F29" s="240">
        <v>5418.79</v>
      </c>
      <c r="G29" s="240">
        <f>+F29*12</f>
        <v>65025.479999999996</v>
      </c>
      <c r="H29" s="224" t="s">
        <v>316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544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 x14ac:dyDescent="0.2">
      <c r="A30" s="239" t="s">
        <v>261</v>
      </c>
      <c r="B30" s="239" t="s">
        <v>218</v>
      </c>
      <c r="C30" s="285" t="s">
        <v>647</v>
      </c>
      <c r="D30" s="312" t="s">
        <v>632</v>
      </c>
      <c r="E30" s="239" t="s">
        <v>333</v>
      </c>
      <c r="F30" s="240">
        <v>5418.79</v>
      </c>
      <c r="G30" s="240">
        <f>+F30*12</f>
        <v>65025.479999999996</v>
      </c>
      <c r="H30" s="224" t="s">
        <v>316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545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 x14ac:dyDescent="0.2">
      <c r="A31" s="239" t="s">
        <v>262</v>
      </c>
      <c r="B31" s="239" t="s">
        <v>219</v>
      </c>
      <c r="C31" s="285" t="s">
        <v>647</v>
      </c>
      <c r="D31" s="312" t="s">
        <v>332</v>
      </c>
      <c r="E31" s="239" t="s">
        <v>333</v>
      </c>
      <c r="F31" s="240">
        <v>5418.79</v>
      </c>
      <c r="G31" s="240">
        <f>+F31*12</f>
        <v>65025.479999999996</v>
      </c>
      <c r="H31" s="224" t="s">
        <v>316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546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 x14ac:dyDescent="0.2">
      <c r="A32" s="239" t="s">
        <v>263</v>
      </c>
      <c r="B32" s="239" t="s">
        <v>220</v>
      </c>
      <c r="C32" s="285" t="s">
        <v>647</v>
      </c>
      <c r="D32" s="312" t="s">
        <v>332</v>
      </c>
      <c r="E32" s="239" t="s">
        <v>333</v>
      </c>
      <c r="F32" s="240">
        <v>5418.79</v>
      </c>
      <c r="G32" s="240">
        <f>+F32*12</f>
        <v>65025.479999999996</v>
      </c>
      <c r="H32" s="224" t="s">
        <v>316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547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 x14ac:dyDescent="0.2">
      <c r="A33" s="239" t="s">
        <v>264</v>
      </c>
      <c r="B33" s="239" t="s">
        <v>221</v>
      </c>
      <c r="C33" s="285" t="s">
        <v>647</v>
      </c>
      <c r="D33" s="312" t="s">
        <v>632</v>
      </c>
      <c r="E33" s="239" t="s">
        <v>333</v>
      </c>
      <c r="F33" s="240">
        <v>5418.79</v>
      </c>
      <c r="G33" s="240">
        <f>+F33*12</f>
        <v>65025.479999999996</v>
      </c>
      <c r="H33" s="224" t="s">
        <v>316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548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 x14ac:dyDescent="0.2">
      <c r="A34" s="239" t="s">
        <v>265</v>
      </c>
      <c r="B34" s="239" t="s">
        <v>222</v>
      </c>
      <c r="C34" s="285" t="s">
        <v>647</v>
      </c>
      <c r="D34" s="312" t="s">
        <v>632</v>
      </c>
      <c r="E34" s="239" t="s">
        <v>333</v>
      </c>
      <c r="F34" s="240">
        <v>5418.79</v>
      </c>
      <c r="G34" s="240">
        <f t="shared" ref="G34:G65" si="5">+F34*12</f>
        <v>65025.479999999996</v>
      </c>
      <c r="H34" s="224" t="s">
        <v>316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549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 x14ac:dyDescent="0.2">
      <c r="A35" s="239" t="s">
        <v>266</v>
      </c>
      <c r="B35" s="239" t="s">
        <v>223</v>
      </c>
      <c r="C35" s="285" t="s">
        <v>647</v>
      </c>
      <c r="D35" s="312" t="s">
        <v>332</v>
      </c>
      <c r="E35" s="239" t="s">
        <v>333</v>
      </c>
      <c r="F35" s="240">
        <v>5418.79</v>
      </c>
      <c r="G35" s="240">
        <f t="shared" si="5"/>
        <v>65025.479999999996</v>
      </c>
      <c r="H35" s="224" t="s">
        <v>316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550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 x14ac:dyDescent="0.2">
      <c r="A36" s="239" t="s">
        <v>267</v>
      </c>
      <c r="B36" s="239" t="s">
        <v>224</v>
      </c>
      <c r="C36" s="285" t="s">
        <v>647</v>
      </c>
      <c r="D36" s="312" t="s">
        <v>332</v>
      </c>
      <c r="E36" s="239" t="s">
        <v>333</v>
      </c>
      <c r="F36" s="240">
        <v>5418.79</v>
      </c>
      <c r="G36" s="240">
        <f t="shared" si="5"/>
        <v>65025.479999999996</v>
      </c>
      <c r="H36" s="224" t="s">
        <v>316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551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 x14ac:dyDescent="0.2">
      <c r="A37" s="239" t="s">
        <v>268</v>
      </c>
      <c r="B37" s="239" t="s">
        <v>225</v>
      </c>
      <c r="C37" s="285" t="s">
        <v>647</v>
      </c>
      <c r="D37" s="312" t="s">
        <v>332</v>
      </c>
      <c r="E37" s="239" t="s">
        <v>333</v>
      </c>
      <c r="F37" s="240">
        <v>5418.79</v>
      </c>
      <c r="G37" s="240">
        <f t="shared" si="5"/>
        <v>65025.479999999996</v>
      </c>
      <c r="H37" s="224" t="s">
        <v>316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552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 x14ac:dyDescent="0.2">
      <c r="A38" s="239" t="s">
        <v>269</v>
      </c>
      <c r="B38" s="239" t="s">
        <v>381</v>
      </c>
      <c r="C38" s="285" t="s">
        <v>647</v>
      </c>
      <c r="D38" s="312" t="s">
        <v>332</v>
      </c>
      <c r="E38" s="239" t="s">
        <v>333</v>
      </c>
      <c r="F38" s="240">
        <v>5418.79</v>
      </c>
      <c r="G38" s="240">
        <f t="shared" si="5"/>
        <v>65025.479999999996</v>
      </c>
      <c r="H38" s="224" t="s">
        <v>316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553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 x14ac:dyDescent="0.2">
      <c r="A39" s="239" t="s">
        <v>270</v>
      </c>
      <c r="B39" s="239" t="s">
        <v>430</v>
      </c>
      <c r="C39" s="285" t="s">
        <v>647</v>
      </c>
      <c r="D39" s="312" t="s">
        <v>332</v>
      </c>
      <c r="E39" s="239" t="s">
        <v>333</v>
      </c>
      <c r="F39" s="240">
        <v>5418.79</v>
      </c>
      <c r="G39" s="240">
        <f t="shared" si="5"/>
        <v>65025.479999999996</v>
      </c>
      <c r="H39" s="224" t="s">
        <v>316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554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 x14ac:dyDescent="0.2">
      <c r="A40" s="239" t="s">
        <v>271</v>
      </c>
      <c r="B40" s="239" t="s">
        <v>431</v>
      </c>
      <c r="C40" s="285" t="s">
        <v>647</v>
      </c>
      <c r="D40" s="312" t="s">
        <v>332</v>
      </c>
      <c r="E40" s="239" t="s">
        <v>333</v>
      </c>
      <c r="F40" s="240">
        <v>5418.79</v>
      </c>
      <c r="G40" s="240">
        <f t="shared" si="5"/>
        <v>65025.479999999996</v>
      </c>
      <c r="H40" s="224" t="s">
        <v>316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555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 x14ac:dyDescent="0.2">
      <c r="A41" s="239" t="s">
        <v>272</v>
      </c>
      <c r="B41" s="239" t="s">
        <v>432</v>
      </c>
      <c r="C41" s="285" t="s">
        <v>647</v>
      </c>
      <c r="D41" s="312" t="s">
        <v>632</v>
      </c>
      <c r="E41" s="239" t="s">
        <v>333</v>
      </c>
      <c r="F41" s="240">
        <v>5418.79</v>
      </c>
      <c r="G41" s="240">
        <f t="shared" si="5"/>
        <v>65025.479999999996</v>
      </c>
      <c r="H41" s="224" t="s">
        <v>316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556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 x14ac:dyDescent="0.2">
      <c r="A42" s="239" t="s">
        <v>273</v>
      </c>
      <c r="B42" s="239" t="s">
        <v>433</v>
      </c>
      <c r="C42" s="285" t="s">
        <v>647</v>
      </c>
      <c r="D42" s="312" t="s">
        <v>332</v>
      </c>
      <c r="E42" s="239" t="s">
        <v>333</v>
      </c>
      <c r="F42" s="240">
        <v>5418.79</v>
      </c>
      <c r="G42" s="240">
        <f t="shared" si="5"/>
        <v>65025.479999999996</v>
      </c>
      <c r="H42" s="224" t="s">
        <v>316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557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 x14ac:dyDescent="0.2">
      <c r="A43" s="241" t="s">
        <v>314</v>
      </c>
      <c r="B43" s="241" t="s">
        <v>206</v>
      </c>
      <c r="C43" s="9" t="s">
        <v>648</v>
      </c>
      <c r="D43" s="312" t="s">
        <v>62</v>
      </c>
      <c r="E43" s="241" t="s">
        <v>315</v>
      </c>
      <c r="F43" s="242">
        <v>4954.3900000000003</v>
      </c>
      <c r="G43" s="242">
        <f t="shared" si="5"/>
        <v>59452.680000000008</v>
      </c>
      <c r="H43" s="224" t="s">
        <v>316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558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 x14ac:dyDescent="0.2">
      <c r="A44" s="241" t="s">
        <v>328</v>
      </c>
      <c r="B44" s="241" t="s">
        <v>214</v>
      </c>
      <c r="C44" s="9" t="s">
        <v>648</v>
      </c>
      <c r="D44" s="310" t="s">
        <v>62</v>
      </c>
      <c r="E44" s="241" t="s">
        <v>315</v>
      </c>
      <c r="F44" s="242">
        <v>4954.3900000000003</v>
      </c>
      <c r="G44" s="242">
        <f t="shared" si="5"/>
        <v>59452.680000000008</v>
      </c>
      <c r="H44" s="224" t="s">
        <v>316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559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 x14ac:dyDescent="0.2">
      <c r="A45" s="241" t="s">
        <v>348</v>
      </c>
      <c r="B45" s="241" t="s">
        <v>330</v>
      </c>
      <c r="C45" s="9" t="s">
        <v>658</v>
      </c>
      <c r="D45" s="312" t="s">
        <v>130</v>
      </c>
      <c r="E45" s="241" t="s">
        <v>315</v>
      </c>
      <c r="F45" s="242">
        <v>4954.3900000000003</v>
      </c>
      <c r="G45" s="242">
        <f t="shared" si="5"/>
        <v>59452.680000000008</v>
      </c>
      <c r="H45" s="224" t="s">
        <v>316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560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 x14ac:dyDescent="0.2">
      <c r="A46" s="241" t="s">
        <v>395</v>
      </c>
      <c r="B46" s="241" t="s">
        <v>396</v>
      </c>
      <c r="C46" s="9" t="s">
        <v>658</v>
      </c>
      <c r="D46" s="311" t="s">
        <v>130</v>
      </c>
      <c r="E46" s="241" t="s">
        <v>315</v>
      </c>
      <c r="F46" s="242">
        <v>4954.3900000000003</v>
      </c>
      <c r="G46" s="242">
        <f t="shared" si="5"/>
        <v>59452.680000000008</v>
      </c>
      <c r="H46" s="224" t="s">
        <v>316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561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 x14ac:dyDescent="0.2">
      <c r="A47" s="241" t="s">
        <v>397</v>
      </c>
      <c r="B47" s="241" t="s">
        <v>287</v>
      </c>
      <c r="C47" s="9" t="s">
        <v>658</v>
      </c>
      <c r="D47" s="312" t="s">
        <v>130</v>
      </c>
      <c r="E47" s="241" t="s">
        <v>315</v>
      </c>
      <c r="F47" s="242">
        <v>4954.3900000000003</v>
      </c>
      <c r="G47" s="242">
        <f t="shared" si="5"/>
        <v>59452.680000000008</v>
      </c>
      <c r="H47" s="224" t="s">
        <v>316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562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 x14ac:dyDescent="0.2">
      <c r="A48" s="241" t="s">
        <v>398</v>
      </c>
      <c r="B48" s="241" t="s">
        <v>399</v>
      </c>
      <c r="C48" s="9" t="s">
        <v>657</v>
      </c>
      <c r="D48" s="312" t="s">
        <v>104</v>
      </c>
      <c r="E48" s="241" t="s">
        <v>315</v>
      </c>
      <c r="F48" s="242">
        <v>4954.3900000000003</v>
      </c>
      <c r="G48" s="242">
        <f t="shared" si="5"/>
        <v>59452.680000000008</v>
      </c>
      <c r="H48" s="224" t="s">
        <v>316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563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 x14ac:dyDescent="0.2">
      <c r="A49" s="243" t="s">
        <v>349</v>
      </c>
      <c r="B49" s="243" t="s">
        <v>347</v>
      </c>
      <c r="C49" s="9" t="s">
        <v>658</v>
      </c>
      <c r="D49" s="312" t="s">
        <v>130</v>
      </c>
      <c r="E49" s="243" t="s">
        <v>350</v>
      </c>
      <c r="F49" s="244">
        <v>5163.37</v>
      </c>
      <c r="G49" s="244">
        <f t="shared" si="5"/>
        <v>61960.44</v>
      </c>
      <c r="H49" s="224" t="s">
        <v>316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564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 x14ac:dyDescent="0.2">
      <c r="A50" s="245" t="s">
        <v>335</v>
      </c>
      <c r="B50" s="245" t="s">
        <v>336</v>
      </c>
      <c r="C50" s="2" t="s">
        <v>635</v>
      </c>
      <c r="D50" s="310" t="s">
        <v>117</v>
      </c>
      <c r="E50" s="245" t="s">
        <v>311</v>
      </c>
      <c r="F50" s="246">
        <v>6998.47</v>
      </c>
      <c r="G50" s="246">
        <f t="shared" si="5"/>
        <v>83981.64</v>
      </c>
      <c r="H50" s="224" t="s">
        <v>337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598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 x14ac:dyDescent="0.2">
      <c r="A51" s="245" t="s">
        <v>338</v>
      </c>
      <c r="B51" s="245" t="s">
        <v>339</v>
      </c>
      <c r="C51" s="2" t="s">
        <v>633</v>
      </c>
      <c r="D51" s="310" t="s">
        <v>116</v>
      </c>
      <c r="E51" s="245" t="s">
        <v>311</v>
      </c>
      <c r="F51" s="246">
        <v>6998.47</v>
      </c>
      <c r="G51" s="246">
        <f t="shared" si="5"/>
        <v>83981.64</v>
      </c>
      <c r="H51" s="224" t="s">
        <v>337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599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 x14ac:dyDescent="0.2">
      <c r="A52" s="247" t="s">
        <v>400</v>
      </c>
      <c r="B52" s="247" t="s">
        <v>401</v>
      </c>
      <c r="C52" s="2" t="s">
        <v>649</v>
      </c>
      <c r="D52" s="312" t="s">
        <v>62</v>
      </c>
      <c r="E52" s="247" t="s">
        <v>313</v>
      </c>
      <c r="F52" s="248">
        <v>6892.51</v>
      </c>
      <c r="G52" s="248">
        <f t="shared" si="5"/>
        <v>82710.12</v>
      </c>
      <c r="H52" s="224" t="s">
        <v>337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603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 x14ac:dyDescent="0.2">
      <c r="A53" s="247" t="s">
        <v>402</v>
      </c>
      <c r="B53" s="247" t="s">
        <v>403</v>
      </c>
      <c r="C53" s="2" t="s">
        <v>664</v>
      </c>
      <c r="D53" s="311" t="s">
        <v>64</v>
      </c>
      <c r="E53" s="247" t="s">
        <v>313</v>
      </c>
      <c r="F53" s="248">
        <v>6892.51</v>
      </c>
      <c r="G53" s="248">
        <f t="shared" si="5"/>
        <v>82710.12</v>
      </c>
      <c r="H53" s="224" t="s">
        <v>337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604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 x14ac:dyDescent="0.2">
      <c r="A54" s="247" t="s">
        <v>437</v>
      </c>
      <c r="B54" s="247" t="s">
        <v>438</v>
      </c>
      <c r="C54" s="2" t="s">
        <v>664</v>
      </c>
      <c r="D54" s="312" t="s">
        <v>64</v>
      </c>
      <c r="E54" s="247" t="s">
        <v>313</v>
      </c>
      <c r="F54" s="248">
        <v>6892.51</v>
      </c>
      <c r="G54" s="248">
        <f t="shared" si="5"/>
        <v>82710.12</v>
      </c>
      <c r="H54" s="224" t="s">
        <v>337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605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 x14ac:dyDescent="0.2">
      <c r="A55" s="247" t="s">
        <v>439</v>
      </c>
      <c r="B55" s="247" t="s">
        <v>440</v>
      </c>
      <c r="C55" s="2" t="s">
        <v>664</v>
      </c>
      <c r="D55" s="312" t="s">
        <v>64</v>
      </c>
      <c r="E55" s="247" t="s">
        <v>313</v>
      </c>
      <c r="F55" s="248">
        <v>6892.51</v>
      </c>
      <c r="G55" s="248">
        <f t="shared" si="5"/>
        <v>82710.12</v>
      </c>
      <c r="H55" s="224" t="s">
        <v>337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606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 x14ac:dyDescent="0.2">
      <c r="A56" s="247" t="s">
        <v>441</v>
      </c>
      <c r="B56" s="247" t="s">
        <v>442</v>
      </c>
      <c r="C56" s="2" t="s">
        <v>662</v>
      </c>
      <c r="D56" s="311" t="s">
        <v>63</v>
      </c>
      <c r="E56" s="247" t="s">
        <v>313</v>
      </c>
      <c r="F56" s="248">
        <v>6892.51</v>
      </c>
      <c r="G56" s="248">
        <f t="shared" si="5"/>
        <v>82710.12</v>
      </c>
      <c r="H56" s="224" t="s">
        <v>337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607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 x14ac:dyDescent="0.2">
      <c r="A57" s="249" t="s">
        <v>340</v>
      </c>
      <c r="B57" s="249" t="s">
        <v>226</v>
      </c>
      <c r="C57" s="2" t="s">
        <v>669</v>
      </c>
      <c r="D57" s="312" t="s">
        <v>632</v>
      </c>
      <c r="E57" s="249" t="s">
        <v>341</v>
      </c>
      <c r="F57" s="250">
        <v>8221.42</v>
      </c>
      <c r="G57" s="250">
        <f t="shared" si="5"/>
        <v>98657.040000000008</v>
      </c>
      <c r="H57" s="224" t="s">
        <v>316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608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 x14ac:dyDescent="0.2">
      <c r="A58" s="249" t="s">
        <v>342</v>
      </c>
      <c r="B58" s="249" t="s">
        <v>227</v>
      </c>
      <c r="C58" s="2" t="s">
        <v>669</v>
      </c>
      <c r="D58" s="312" t="s">
        <v>632</v>
      </c>
      <c r="E58" s="249" t="s">
        <v>341</v>
      </c>
      <c r="F58" s="250">
        <v>8221.42</v>
      </c>
      <c r="G58" s="250">
        <f t="shared" si="5"/>
        <v>98657.040000000008</v>
      </c>
      <c r="H58" s="224" t="s">
        <v>316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609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 x14ac:dyDescent="0.2">
      <c r="A59" s="249" t="s">
        <v>343</v>
      </c>
      <c r="B59" s="249" t="s">
        <v>228</v>
      </c>
      <c r="C59" s="2" t="s">
        <v>669</v>
      </c>
      <c r="D59" s="312" t="s">
        <v>332</v>
      </c>
      <c r="E59" s="249" t="s">
        <v>341</v>
      </c>
      <c r="F59" s="250">
        <v>8221.42</v>
      </c>
      <c r="G59" s="250">
        <f t="shared" si="5"/>
        <v>98657.040000000008</v>
      </c>
      <c r="H59" s="224" t="s">
        <v>316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610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 x14ac:dyDescent="0.2">
      <c r="A60" s="249" t="s">
        <v>275</v>
      </c>
      <c r="B60" s="249" t="s">
        <v>353</v>
      </c>
      <c r="C60" s="2" t="s">
        <v>669</v>
      </c>
      <c r="D60" s="312" t="s">
        <v>332</v>
      </c>
      <c r="E60" s="249" t="s">
        <v>341</v>
      </c>
      <c r="F60" s="250">
        <v>8221.42</v>
      </c>
      <c r="G60" s="250">
        <f t="shared" si="5"/>
        <v>98657.040000000008</v>
      </c>
      <c r="H60" s="224" t="s">
        <v>316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611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 x14ac:dyDescent="0.2">
      <c r="A61" s="249" t="s">
        <v>354</v>
      </c>
      <c r="B61" s="249" t="s">
        <v>355</v>
      </c>
      <c r="C61" s="2" t="s">
        <v>665</v>
      </c>
      <c r="D61" s="312" t="s">
        <v>64</v>
      </c>
      <c r="E61" s="249" t="s">
        <v>341</v>
      </c>
      <c r="F61" s="250">
        <v>8221.42</v>
      </c>
      <c r="G61" s="250">
        <f t="shared" si="5"/>
        <v>98657.040000000008</v>
      </c>
      <c r="H61" s="224" t="s">
        <v>316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612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 x14ac:dyDescent="0.2">
      <c r="A62" s="249" t="s">
        <v>276</v>
      </c>
      <c r="B62" s="249" t="s">
        <v>356</v>
      </c>
      <c r="C62" s="2" t="s">
        <v>650</v>
      </c>
      <c r="D62" s="312" t="s">
        <v>62</v>
      </c>
      <c r="E62" s="249" t="s">
        <v>341</v>
      </c>
      <c r="F62" s="250">
        <v>8221.42</v>
      </c>
      <c r="G62" s="250">
        <f t="shared" si="5"/>
        <v>98657.040000000008</v>
      </c>
      <c r="H62" s="224" t="s">
        <v>316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613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 x14ac:dyDescent="0.2">
      <c r="A63" s="249" t="s">
        <v>277</v>
      </c>
      <c r="B63" s="249" t="s">
        <v>357</v>
      </c>
      <c r="C63" s="2" t="s">
        <v>659</v>
      </c>
      <c r="D63" s="311" t="s">
        <v>130</v>
      </c>
      <c r="E63" s="249" t="s">
        <v>341</v>
      </c>
      <c r="F63" s="250">
        <v>8221.42</v>
      </c>
      <c r="G63" s="250">
        <f t="shared" si="5"/>
        <v>98657.040000000008</v>
      </c>
      <c r="H63" s="224" t="s">
        <v>316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614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 x14ac:dyDescent="0.2">
      <c r="A64" s="249" t="s">
        <v>278</v>
      </c>
      <c r="B64" s="249" t="s">
        <v>358</v>
      </c>
      <c r="C64" s="2" t="s">
        <v>669</v>
      </c>
      <c r="D64" s="311" t="s">
        <v>332</v>
      </c>
      <c r="E64" s="249" t="s">
        <v>341</v>
      </c>
      <c r="F64" s="250">
        <v>8221.42</v>
      </c>
      <c r="G64" s="250">
        <f t="shared" si="5"/>
        <v>98657.040000000008</v>
      </c>
      <c r="H64" s="224" t="s">
        <v>316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1476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 x14ac:dyDescent="0.2">
      <c r="A65" s="249" t="s">
        <v>365</v>
      </c>
      <c r="B65" s="249" t="s">
        <v>366</v>
      </c>
      <c r="C65" s="2" t="s">
        <v>659</v>
      </c>
      <c r="D65" s="312" t="s">
        <v>130</v>
      </c>
      <c r="E65" s="249" t="s">
        <v>341</v>
      </c>
      <c r="F65" s="250">
        <v>8221.42</v>
      </c>
      <c r="G65" s="250">
        <f t="shared" si="5"/>
        <v>98657.040000000008</v>
      </c>
      <c r="H65" s="224" t="s">
        <v>316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615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 x14ac:dyDescent="0.2">
      <c r="A66" s="249" t="s">
        <v>367</v>
      </c>
      <c r="B66" s="249" t="s">
        <v>368</v>
      </c>
      <c r="C66" s="2" t="s">
        <v>665</v>
      </c>
      <c r="D66" s="310" t="s">
        <v>64</v>
      </c>
      <c r="E66" s="249" t="s">
        <v>341</v>
      </c>
      <c r="F66" s="250">
        <v>8221.42</v>
      </c>
      <c r="G66" s="250">
        <f t="shared" ref="G66:G89" si="8">+F66*12</f>
        <v>98657.040000000008</v>
      </c>
      <c r="H66" s="224" t="s">
        <v>316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616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 x14ac:dyDescent="0.2">
      <c r="A67" s="249" t="s">
        <v>369</v>
      </c>
      <c r="B67" s="249" t="s">
        <v>370</v>
      </c>
      <c r="C67" s="2" t="s">
        <v>669</v>
      </c>
      <c r="D67" s="313" t="s">
        <v>332</v>
      </c>
      <c r="E67" s="249" t="s">
        <v>341</v>
      </c>
      <c r="F67" s="250">
        <v>8221.42</v>
      </c>
      <c r="G67" s="250">
        <f t="shared" si="8"/>
        <v>98657.040000000008</v>
      </c>
      <c r="H67" s="224" t="s">
        <v>316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617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 x14ac:dyDescent="0.2">
      <c r="A68" s="249" t="s">
        <v>371</v>
      </c>
      <c r="B68" s="249" t="s">
        <v>372</v>
      </c>
      <c r="C68" s="2" t="s">
        <v>650</v>
      </c>
      <c r="D68" s="314" t="s">
        <v>62</v>
      </c>
      <c r="E68" s="249" t="s">
        <v>341</v>
      </c>
      <c r="F68" s="250">
        <v>8221.42</v>
      </c>
      <c r="G68" s="250">
        <f t="shared" si="8"/>
        <v>98657.040000000008</v>
      </c>
      <c r="H68" s="224" t="s">
        <v>316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1477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 x14ac:dyDescent="0.2">
      <c r="A69" s="249" t="s">
        <v>379</v>
      </c>
      <c r="B69" s="249" t="s">
        <v>380</v>
      </c>
      <c r="C69" s="2" t="s">
        <v>663</v>
      </c>
      <c r="D69" s="311" t="s">
        <v>63</v>
      </c>
      <c r="E69" s="249" t="s">
        <v>341</v>
      </c>
      <c r="F69" s="250">
        <v>8221.42</v>
      </c>
      <c r="G69" s="250">
        <f t="shared" si="8"/>
        <v>98657.040000000008</v>
      </c>
      <c r="H69" s="224" t="s">
        <v>316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618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 x14ac:dyDescent="0.2">
      <c r="A70" s="249" t="s">
        <v>385</v>
      </c>
      <c r="B70" s="249" t="s">
        <v>386</v>
      </c>
      <c r="C70" s="2" t="s">
        <v>650</v>
      </c>
      <c r="D70" s="311" t="s">
        <v>62</v>
      </c>
      <c r="E70" s="249" t="s">
        <v>341</v>
      </c>
      <c r="F70" s="250">
        <v>8221.42</v>
      </c>
      <c r="G70" s="250">
        <f t="shared" si="8"/>
        <v>98657.040000000008</v>
      </c>
      <c r="H70" s="224" t="s">
        <v>316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619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 x14ac:dyDescent="0.2">
      <c r="A71" s="249" t="s">
        <v>447</v>
      </c>
      <c r="B71" s="249" t="s">
        <v>446</v>
      </c>
      <c r="C71" s="2" t="s">
        <v>669</v>
      </c>
      <c r="D71" s="314" t="s">
        <v>332</v>
      </c>
      <c r="E71" s="249" t="s">
        <v>341</v>
      </c>
      <c r="F71" s="250">
        <v>8221.42</v>
      </c>
      <c r="G71" s="250">
        <f t="shared" si="8"/>
        <v>98657.040000000008</v>
      </c>
      <c r="H71" s="224" t="s">
        <v>316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691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 x14ac:dyDescent="0.2">
      <c r="A72" s="249" t="s">
        <v>448</v>
      </c>
      <c r="B72" s="249" t="s">
        <v>446</v>
      </c>
      <c r="C72" s="2" t="s">
        <v>669</v>
      </c>
      <c r="D72" s="314" t="s">
        <v>332</v>
      </c>
      <c r="E72" s="249" t="s">
        <v>341</v>
      </c>
      <c r="F72" s="250">
        <v>8221.42</v>
      </c>
      <c r="G72" s="250">
        <f t="shared" si="8"/>
        <v>98657.040000000008</v>
      </c>
      <c r="H72" s="224" t="s">
        <v>316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1478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 x14ac:dyDescent="0.2">
      <c r="A73" s="249" t="s">
        <v>449</v>
      </c>
      <c r="B73" s="249" t="s">
        <v>446</v>
      </c>
      <c r="C73" s="2" t="s">
        <v>669</v>
      </c>
      <c r="D73" s="314" t="s">
        <v>332</v>
      </c>
      <c r="E73" s="249" t="s">
        <v>341</v>
      </c>
      <c r="F73" s="250">
        <v>8221.42</v>
      </c>
      <c r="G73" s="250">
        <f t="shared" si="8"/>
        <v>98657.040000000008</v>
      </c>
      <c r="H73" s="224" t="s">
        <v>316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1479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 x14ac:dyDescent="0.2">
      <c r="A74" s="251" t="s">
        <v>376</v>
      </c>
      <c r="B74" s="251" t="s">
        <v>377</v>
      </c>
      <c r="C74" s="300" t="s">
        <v>666</v>
      </c>
      <c r="D74" s="311" t="s">
        <v>64</v>
      </c>
      <c r="E74" s="251" t="s">
        <v>378</v>
      </c>
      <c r="F74" s="252">
        <v>10212.11</v>
      </c>
      <c r="G74" s="252">
        <f t="shared" si="8"/>
        <v>122545.32</v>
      </c>
      <c r="H74" s="224" t="s">
        <v>316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1487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 x14ac:dyDescent="0.2">
      <c r="A75" s="253" t="s">
        <v>279</v>
      </c>
      <c r="B75" s="253" t="s">
        <v>351</v>
      </c>
      <c r="C75" s="301" t="s">
        <v>670</v>
      </c>
      <c r="D75" s="312" t="s">
        <v>332</v>
      </c>
      <c r="E75" s="253" t="s">
        <v>352</v>
      </c>
      <c r="F75" s="254">
        <v>9227.8799999999992</v>
      </c>
      <c r="G75" s="254">
        <f t="shared" si="8"/>
        <v>110734.56</v>
      </c>
      <c r="H75" s="224" t="s">
        <v>316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692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 x14ac:dyDescent="0.2">
      <c r="A76" s="253" t="s">
        <v>280</v>
      </c>
      <c r="B76" s="253" t="s">
        <v>364</v>
      </c>
      <c r="C76" s="301" t="s">
        <v>670</v>
      </c>
      <c r="D76" s="312" t="s">
        <v>332</v>
      </c>
      <c r="E76" s="253" t="s">
        <v>352</v>
      </c>
      <c r="F76" s="254">
        <v>9227.8799999999992</v>
      </c>
      <c r="G76" s="254">
        <f t="shared" si="8"/>
        <v>110734.56</v>
      </c>
      <c r="H76" s="224" t="s">
        <v>316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693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 x14ac:dyDescent="0.2">
      <c r="A77" s="255" t="s">
        <v>414</v>
      </c>
      <c r="B77" s="255" t="s">
        <v>415</v>
      </c>
      <c r="C77" s="9" t="s">
        <v>667</v>
      </c>
      <c r="D77" s="312" t="s">
        <v>305</v>
      </c>
      <c r="E77" s="255" t="s">
        <v>319</v>
      </c>
      <c r="F77" s="256">
        <v>12140.7</v>
      </c>
      <c r="G77" s="256">
        <f t="shared" si="8"/>
        <v>145688.40000000002</v>
      </c>
      <c r="H77" s="224" t="s">
        <v>337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620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 x14ac:dyDescent="0.2">
      <c r="A78" s="255" t="s">
        <v>416</v>
      </c>
      <c r="B78" s="255" t="s">
        <v>417</v>
      </c>
      <c r="C78" s="9" t="s">
        <v>667</v>
      </c>
      <c r="D78" s="312" t="s">
        <v>305</v>
      </c>
      <c r="E78" s="255" t="s">
        <v>319</v>
      </c>
      <c r="F78" s="256">
        <v>12140.7</v>
      </c>
      <c r="G78" s="256">
        <f t="shared" si="8"/>
        <v>145688.40000000002</v>
      </c>
      <c r="H78" s="224" t="s">
        <v>337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621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 x14ac:dyDescent="0.2">
      <c r="A79" s="255" t="s">
        <v>418</v>
      </c>
      <c r="B79" s="255" t="s">
        <v>419</v>
      </c>
      <c r="C79" s="9" t="s">
        <v>667</v>
      </c>
      <c r="D79" s="312" t="s">
        <v>305</v>
      </c>
      <c r="E79" s="255" t="s">
        <v>319</v>
      </c>
      <c r="F79" s="256">
        <v>12140.7</v>
      </c>
      <c r="G79" s="256">
        <f t="shared" si="8"/>
        <v>145688.40000000002</v>
      </c>
      <c r="H79" s="224" t="s">
        <v>337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622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 x14ac:dyDescent="0.2">
      <c r="A80" s="257" t="s">
        <v>382</v>
      </c>
      <c r="B80" s="257" t="s">
        <v>383</v>
      </c>
      <c r="C80" s="302" t="s">
        <v>651</v>
      </c>
      <c r="D80" s="312" t="s">
        <v>62</v>
      </c>
      <c r="E80" s="257" t="s">
        <v>384</v>
      </c>
      <c r="F80" s="258">
        <v>13295.81</v>
      </c>
      <c r="G80" s="258">
        <f t="shared" si="8"/>
        <v>159549.72</v>
      </c>
      <c r="H80" s="224" t="s">
        <v>316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623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 x14ac:dyDescent="0.2">
      <c r="A81" s="257" t="s">
        <v>443</v>
      </c>
      <c r="B81" s="257" t="s">
        <v>444</v>
      </c>
      <c r="C81" s="302" t="s">
        <v>651</v>
      </c>
      <c r="D81" s="313" t="s">
        <v>62</v>
      </c>
      <c r="E81" s="257" t="s">
        <v>384</v>
      </c>
      <c r="F81" s="258">
        <v>13295.81</v>
      </c>
      <c r="G81" s="258">
        <f t="shared" si="8"/>
        <v>159549.72</v>
      </c>
      <c r="H81" s="224" t="s">
        <v>316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624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 x14ac:dyDescent="0.2">
      <c r="A82" s="224" t="s">
        <v>445</v>
      </c>
      <c r="B82" s="224"/>
      <c r="C82" s="302" t="s">
        <v>651</v>
      </c>
      <c r="D82" s="311" t="s">
        <v>62</v>
      </c>
      <c r="E82" s="257" t="s">
        <v>384</v>
      </c>
      <c r="F82" s="258">
        <v>13296.81</v>
      </c>
      <c r="G82" s="258">
        <f t="shared" si="8"/>
        <v>159561.72</v>
      </c>
      <c r="H82" s="224" t="s">
        <v>316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694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 x14ac:dyDescent="0.2">
      <c r="A83" s="259" t="s">
        <v>282</v>
      </c>
      <c r="B83" s="259" t="s">
        <v>362</v>
      </c>
      <c r="C83" s="2" t="s">
        <v>689</v>
      </c>
      <c r="D83" s="312" t="s">
        <v>332</v>
      </c>
      <c r="E83" s="259" t="s">
        <v>363</v>
      </c>
      <c r="F83" s="260">
        <v>13260.01</v>
      </c>
      <c r="G83" s="260">
        <f t="shared" si="8"/>
        <v>159120.12</v>
      </c>
      <c r="H83" s="224" t="s">
        <v>316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625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 x14ac:dyDescent="0.2">
      <c r="A84" s="261" t="s">
        <v>283</v>
      </c>
      <c r="B84" s="261" t="s">
        <v>359</v>
      </c>
      <c r="C84" s="2" t="s">
        <v>690</v>
      </c>
      <c r="D84" s="312" t="s">
        <v>62</v>
      </c>
      <c r="E84" s="261" t="s">
        <v>360</v>
      </c>
      <c r="F84" s="262">
        <v>15645.86</v>
      </c>
      <c r="G84" s="262">
        <f t="shared" si="8"/>
        <v>187750.32</v>
      </c>
      <c r="H84" s="224" t="s">
        <v>316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626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 x14ac:dyDescent="0.2">
      <c r="A85" s="261" t="s">
        <v>284</v>
      </c>
      <c r="B85" s="261" t="s">
        <v>361</v>
      </c>
      <c r="C85" s="2" t="s">
        <v>689</v>
      </c>
      <c r="D85" s="312" t="s">
        <v>632</v>
      </c>
      <c r="E85" s="261" t="s">
        <v>360</v>
      </c>
      <c r="F85" s="262">
        <v>15645.86</v>
      </c>
      <c r="G85" s="262">
        <f t="shared" si="8"/>
        <v>187750.32</v>
      </c>
      <c r="H85" s="224" t="s">
        <v>316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695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 x14ac:dyDescent="0.2">
      <c r="A86" s="263" t="s">
        <v>434</v>
      </c>
      <c r="B86" s="263" t="s">
        <v>435</v>
      </c>
      <c r="C86" s="303" t="s">
        <v>652</v>
      </c>
      <c r="D86" s="311" t="s">
        <v>62</v>
      </c>
      <c r="E86" s="263" t="s">
        <v>436</v>
      </c>
      <c r="F86" s="264">
        <v>12999.17</v>
      </c>
      <c r="G86" s="264">
        <f t="shared" si="8"/>
        <v>155990.04</v>
      </c>
      <c r="H86" s="224" t="s">
        <v>316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1480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 x14ac:dyDescent="0.2">
      <c r="A87" s="265" t="s">
        <v>373</v>
      </c>
      <c r="B87" s="265" t="s">
        <v>374</v>
      </c>
      <c r="C87" s="304" t="s">
        <v>661</v>
      </c>
      <c r="D87" s="308" t="s">
        <v>132</v>
      </c>
      <c r="E87" s="265" t="s">
        <v>375</v>
      </c>
      <c r="F87" s="266">
        <v>13362.3</v>
      </c>
      <c r="G87" s="266">
        <f t="shared" si="8"/>
        <v>160347.59999999998</v>
      </c>
      <c r="H87" s="224" t="s">
        <v>316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1481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 x14ac:dyDescent="0.2">
      <c r="A88" s="257" t="s">
        <v>344</v>
      </c>
      <c r="B88" s="257" t="s">
        <v>229</v>
      </c>
      <c r="C88" s="302" t="s">
        <v>660</v>
      </c>
      <c r="D88" s="315" t="s">
        <v>130</v>
      </c>
      <c r="E88" s="257" t="s">
        <v>322</v>
      </c>
      <c r="F88" s="258">
        <v>14670.23</v>
      </c>
      <c r="G88" s="258">
        <f t="shared" si="8"/>
        <v>176042.76</v>
      </c>
      <c r="H88" s="224" t="s">
        <v>316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1482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 x14ac:dyDescent="0.25">
      <c r="A89" s="275" t="s">
        <v>345</v>
      </c>
      <c r="B89" s="275" t="s">
        <v>346</v>
      </c>
      <c r="C89" s="305" t="s">
        <v>668</v>
      </c>
      <c r="D89" s="316" t="s">
        <v>305</v>
      </c>
      <c r="E89" s="275" t="s">
        <v>324</v>
      </c>
      <c r="F89" s="276">
        <v>40000</v>
      </c>
      <c r="G89" s="276">
        <f t="shared" si="8"/>
        <v>480000</v>
      </c>
      <c r="H89" s="277" t="s">
        <v>472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1483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 x14ac:dyDescent="0.25">
      <c r="A90" s="278" t="s">
        <v>455</v>
      </c>
      <c r="B90" s="278" t="s">
        <v>446</v>
      </c>
      <c r="C90" s="287" t="s">
        <v>653</v>
      </c>
      <c r="D90" s="317" t="s">
        <v>62</v>
      </c>
      <c r="E90" s="278" t="s">
        <v>466</v>
      </c>
      <c r="F90" s="279"/>
      <c r="G90" s="279"/>
      <c r="H90" s="278" t="s">
        <v>471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627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 x14ac:dyDescent="0.25">
      <c r="A91" s="278" t="s">
        <v>456</v>
      </c>
      <c r="B91" s="278" t="s">
        <v>446</v>
      </c>
      <c r="C91" s="287" t="s">
        <v>653</v>
      </c>
      <c r="D91" s="317" t="s">
        <v>62</v>
      </c>
      <c r="E91" s="278" t="s">
        <v>466</v>
      </c>
      <c r="F91" s="279"/>
      <c r="G91" s="279"/>
      <c r="H91" s="278" t="s">
        <v>471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628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 x14ac:dyDescent="0.25">
      <c r="A92" s="278" t="s">
        <v>457</v>
      </c>
      <c r="B92" s="278" t="s">
        <v>446</v>
      </c>
      <c r="C92" s="287" t="s">
        <v>654</v>
      </c>
      <c r="D92" s="317" t="s">
        <v>62</v>
      </c>
      <c r="E92" s="278" t="s">
        <v>467</v>
      </c>
      <c r="F92" s="279"/>
      <c r="G92" s="279"/>
      <c r="H92" s="278" t="s">
        <v>472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1484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 x14ac:dyDescent="0.25">
      <c r="A93" s="278" t="s">
        <v>458</v>
      </c>
      <c r="B93" s="278" t="s">
        <v>446</v>
      </c>
      <c r="C93" s="287" t="s">
        <v>654</v>
      </c>
      <c r="D93" s="317" t="s">
        <v>62</v>
      </c>
      <c r="E93" s="278" t="s">
        <v>467</v>
      </c>
      <c r="F93" s="279"/>
      <c r="G93" s="279"/>
      <c r="H93" s="278" t="s">
        <v>472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1485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 x14ac:dyDescent="0.25">
      <c r="A94" s="278" t="s">
        <v>459</v>
      </c>
      <c r="B94" s="278" t="s">
        <v>446</v>
      </c>
      <c r="C94" s="287" t="s">
        <v>655</v>
      </c>
      <c r="D94" s="318" t="s">
        <v>62</v>
      </c>
      <c r="E94" s="278" t="s">
        <v>468</v>
      </c>
      <c r="F94" s="279"/>
      <c r="G94" s="279"/>
      <c r="H94" s="278" t="s">
        <v>472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696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 x14ac:dyDescent="0.25">
      <c r="A95" s="278" t="s">
        <v>460</v>
      </c>
      <c r="B95" s="278" t="s">
        <v>446</v>
      </c>
      <c r="C95" s="287" t="s">
        <v>655</v>
      </c>
      <c r="D95" s="317" t="s">
        <v>62</v>
      </c>
      <c r="E95" s="278" t="s">
        <v>468</v>
      </c>
      <c r="F95" s="279"/>
      <c r="G95" s="279"/>
      <c r="H95" s="278" t="s">
        <v>472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1488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 x14ac:dyDescent="0.25">
      <c r="A96" s="278" t="s">
        <v>461</v>
      </c>
      <c r="B96" s="278" t="s">
        <v>446</v>
      </c>
      <c r="C96" s="287" t="s">
        <v>656</v>
      </c>
      <c r="D96" s="317" t="s">
        <v>62</v>
      </c>
      <c r="E96" s="278" t="s">
        <v>469</v>
      </c>
      <c r="F96" s="279"/>
      <c r="G96" s="279"/>
      <c r="H96" s="278" t="s">
        <v>473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1472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 x14ac:dyDescent="0.25">
      <c r="A97" s="278" t="s">
        <v>462</v>
      </c>
      <c r="B97" s="278" t="s">
        <v>446</v>
      </c>
      <c r="C97" s="287" t="s">
        <v>656</v>
      </c>
      <c r="D97" s="317" t="s">
        <v>62</v>
      </c>
      <c r="E97" s="278" t="s">
        <v>469</v>
      </c>
      <c r="F97" s="279"/>
      <c r="G97" s="279"/>
      <c r="H97" s="278" t="s">
        <v>473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1473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 x14ac:dyDescent="0.25">
      <c r="A98" s="278" t="s">
        <v>463</v>
      </c>
      <c r="B98" s="278" t="s">
        <v>446</v>
      </c>
      <c r="C98" s="287" t="s">
        <v>656</v>
      </c>
      <c r="D98" s="317" t="s">
        <v>62</v>
      </c>
      <c r="E98" s="278" t="s">
        <v>469</v>
      </c>
      <c r="F98" s="279"/>
      <c r="G98" s="279"/>
      <c r="H98" s="278" t="s">
        <v>473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1474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 x14ac:dyDescent="0.25">
      <c r="A99" s="278" t="s">
        <v>464</v>
      </c>
      <c r="B99" s="278" t="s">
        <v>446</v>
      </c>
      <c r="C99" s="287" t="s">
        <v>656</v>
      </c>
      <c r="D99" s="317" t="s">
        <v>62</v>
      </c>
      <c r="E99" s="278" t="s">
        <v>469</v>
      </c>
      <c r="F99" s="279"/>
      <c r="G99" s="279"/>
      <c r="H99" s="278" t="s">
        <v>473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1475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 x14ac:dyDescent="0.25">
      <c r="A100" s="278" t="s">
        <v>465</v>
      </c>
      <c r="B100" s="278" t="s">
        <v>446</v>
      </c>
      <c r="C100" s="286" t="s">
        <v>671</v>
      </c>
      <c r="D100" s="318" t="s">
        <v>632</v>
      </c>
      <c r="E100" s="278" t="s">
        <v>470</v>
      </c>
      <c r="F100" s="279"/>
      <c r="G100" s="279"/>
      <c r="H100" s="278" t="s">
        <v>316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629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 x14ac:dyDescent="0.2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 x14ac:dyDescent="0.2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 x14ac:dyDescent="0.2">
      <c r="F103" s="272"/>
      <c r="G103" s="272"/>
    </row>
    <row r="104" spans="1:51" x14ac:dyDescent="0.2">
      <c r="F104" s="272"/>
      <c r="G104" s="272"/>
    </row>
    <row r="105" spans="1:51" x14ac:dyDescent="0.2">
      <c r="F105" s="272"/>
      <c r="G105" s="272"/>
    </row>
    <row r="106" spans="1:51" x14ac:dyDescent="0.2">
      <c r="F106" s="272"/>
      <c r="G106" s="272"/>
    </row>
    <row r="107" spans="1:51" x14ac:dyDescent="0.2">
      <c r="F107" s="272"/>
      <c r="G107" s="272"/>
    </row>
    <row r="108" spans="1:51" x14ac:dyDescent="0.2">
      <c r="F108" s="272"/>
      <c r="G108" s="272"/>
    </row>
    <row r="109" spans="1:51" x14ac:dyDescent="0.2">
      <c r="F109" s="272"/>
      <c r="G109" s="272"/>
    </row>
    <row r="110" spans="1:51" x14ac:dyDescent="0.2">
      <c r="F110" s="272"/>
      <c r="G110" s="272"/>
    </row>
    <row r="111" spans="1:51" x14ac:dyDescent="0.2">
      <c r="F111" s="272"/>
      <c r="G111" s="272"/>
    </row>
    <row r="112" spans="1:51" x14ac:dyDescent="0.2">
      <c r="F112" s="272"/>
      <c r="G112" s="272"/>
    </row>
    <row r="113" spans="6:7" x14ac:dyDescent="0.2">
      <c r="F113" s="272"/>
      <c r="G113" s="272"/>
    </row>
    <row r="114" spans="6:7" x14ac:dyDescent="0.2">
      <c r="F114" s="272"/>
      <c r="G114" s="272"/>
    </row>
    <row r="115" spans="6:7" x14ac:dyDescent="0.2">
      <c r="F115" s="272"/>
      <c r="G115" s="272"/>
    </row>
  </sheetData>
  <autoFilter ref="A1:AY100"/>
  <sortState ref="A3:AY28">
    <sortCondition ref="A3"/>
  </sortState>
  <customSheetViews>
    <customSheetView guid="{6DF61089-79B2-41AA-A0E5-3D263EEF5CE4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</customSheetViews>
  <pageMargins left="0" right="0" top="0" bottom="0" header="0.31496062992125984" footer="0.31496062992125984"/>
  <pageSetup paperSize="9" scale="90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 x14ac:dyDescent="0.2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 x14ac:dyDescent="0.2">
      <c r="A1" s="106" t="s">
        <v>199</v>
      </c>
      <c r="B1" s="107" t="s">
        <v>200</v>
      </c>
      <c r="C1" s="107" t="s">
        <v>233</v>
      </c>
      <c r="D1" s="108" t="s">
        <v>231</v>
      </c>
      <c r="E1" s="109" t="s">
        <v>234</v>
      </c>
      <c r="F1" s="110" t="s">
        <v>232</v>
      </c>
      <c r="G1" s="111" t="s">
        <v>235</v>
      </c>
      <c r="H1" s="112" t="s">
        <v>201</v>
      </c>
      <c r="I1" s="132" t="s">
        <v>245</v>
      </c>
      <c r="J1" s="113" t="s">
        <v>246</v>
      </c>
    </row>
    <row r="2" spans="1:10" x14ac:dyDescent="0.2">
      <c r="A2" s="115" t="s">
        <v>202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254</v>
      </c>
      <c r="J2" s="113" t="s">
        <v>247</v>
      </c>
    </row>
    <row r="3" spans="1:10" x14ac:dyDescent="0.2">
      <c r="A3" s="115" t="s">
        <v>203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254</v>
      </c>
      <c r="J3" s="113" t="s">
        <v>247</v>
      </c>
    </row>
    <row r="4" spans="1:10" x14ac:dyDescent="0.2">
      <c r="A4" s="115" t="s">
        <v>204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254</v>
      </c>
      <c r="J4" s="113" t="s">
        <v>247</v>
      </c>
    </row>
    <row r="5" spans="1:10" x14ac:dyDescent="0.2">
      <c r="A5" s="115" t="s">
        <v>205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254</v>
      </c>
      <c r="J5" s="113" t="s">
        <v>247</v>
      </c>
    </row>
    <row r="6" spans="1:10" x14ac:dyDescent="0.2">
      <c r="A6" s="115" t="s">
        <v>206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255</v>
      </c>
      <c r="J6" s="113" t="s">
        <v>248</v>
      </c>
    </row>
    <row r="7" spans="1:10" x14ac:dyDescent="0.2">
      <c r="A7" s="115" t="s">
        <v>207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247</v>
      </c>
    </row>
    <row r="8" spans="1:10" x14ac:dyDescent="0.2">
      <c r="A8" s="115" t="s">
        <v>208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247</v>
      </c>
    </row>
    <row r="9" spans="1:10" x14ac:dyDescent="0.2">
      <c r="A9" s="115" t="s">
        <v>209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247</v>
      </c>
    </row>
    <row r="10" spans="1:10" x14ac:dyDescent="0.2">
      <c r="A10" s="115" t="s">
        <v>210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247</v>
      </c>
    </row>
    <row r="11" spans="1:10" x14ac:dyDescent="0.2">
      <c r="A11" s="115" t="s">
        <v>211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247</v>
      </c>
    </row>
    <row r="12" spans="1:10" x14ac:dyDescent="0.2">
      <c r="A12" s="115" t="s">
        <v>212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247</v>
      </c>
    </row>
    <row r="13" spans="1:10" x14ac:dyDescent="0.2">
      <c r="A13" s="115" t="s">
        <v>213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254</v>
      </c>
      <c r="J13" s="113" t="s">
        <v>247</v>
      </c>
    </row>
    <row r="14" spans="1:10" x14ac:dyDescent="0.2">
      <c r="A14" s="115" t="s">
        <v>214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255</v>
      </c>
      <c r="J14" s="113" t="s">
        <v>248</v>
      </c>
    </row>
    <row r="15" spans="1:10" x14ac:dyDescent="0.2">
      <c r="A15" s="115" t="s">
        <v>215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49</v>
      </c>
      <c r="J15" s="113" t="s">
        <v>247</v>
      </c>
    </row>
    <row r="16" spans="1:10" x14ac:dyDescent="0.2">
      <c r="A16" s="115" t="s">
        <v>216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140</v>
      </c>
    </row>
    <row r="17" spans="1:10" x14ac:dyDescent="0.2">
      <c r="A17" s="115" t="s">
        <v>217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256</v>
      </c>
      <c r="J17" s="113" t="s">
        <v>249</v>
      </c>
    </row>
    <row r="18" spans="1:10" x14ac:dyDescent="0.2">
      <c r="A18" s="115" t="s">
        <v>218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256</v>
      </c>
      <c r="J18" s="113" t="s">
        <v>249</v>
      </c>
    </row>
    <row r="19" spans="1:10" x14ac:dyDescent="0.2">
      <c r="A19" s="115" t="s">
        <v>219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256</v>
      </c>
      <c r="J19" s="113" t="s">
        <v>249</v>
      </c>
    </row>
    <row r="20" spans="1:10" x14ac:dyDescent="0.2">
      <c r="A20" s="115" t="s">
        <v>220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256</v>
      </c>
      <c r="J20" s="113" t="s">
        <v>249</v>
      </c>
    </row>
    <row r="21" spans="1:10" x14ac:dyDescent="0.2">
      <c r="A21" s="115" t="s">
        <v>221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256</v>
      </c>
      <c r="J21" s="113" t="s">
        <v>249</v>
      </c>
    </row>
    <row r="22" spans="1:10" x14ac:dyDescent="0.2">
      <c r="A22" s="115" t="s">
        <v>222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256</v>
      </c>
      <c r="J22" s="113" t="s">
        <v>249</v>
      </c>
    </row>
    <row r="23" spans="1:10" x14ac:dyDescent="0.2">
      <c r="A23" s="115" t="s">
        <v>223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256</v>
      </c>
      <c r="J23" s="113" t="s">
        <v>249</v>
      </c>
    </row>
    <row r="24" spans="1:10" x14ac:dyDescent="0.2">
      <c r="A24" s="115" t="s">
        <v>224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256</v>
      </c>
      <c r="J24" s="113" t="s">
        <v>249</v>
      </c>
    </row>
    <row r="25" spans="1:10" x14ac:dyDescent="0.2">
      <c r="A25" s="115" t="s">
        <v>225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256</v>
      </c>
      <c r="J25" s="113" t="s">
        <v>249</v>
      </c>
    </row>
    <row r="26" spans="1:10" x14ac:dyDescent="0.2">
      <c r="A26" s="115" t="s">
        <v>226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255</v>
      </c>
      <c r="J26" s="113" t="s">
        <v>250</v>
      </c>
    </row>
    <row r="27" spans="1:10" x14ac:dyDescent="0.2">
      <c r="A27" s="115" t="s">
        <v>227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254</v>
      </c>
      <c r="J27" s="113" t="s">
        <v>250</v>
      </c>
    </row>
    <row r="28" spans="1:10" x14ac:dyDescent="0.2">
      <c r="A28" s="115" t="s">
        <v>228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254</v>
      </c>
      <c r="J28" s="113" t="s">
        <v>250</v>
      </c>
    </row>
    <row r="29" spans="1:10" x14ac:dyDescent="0.2">
      <c r="A29" s="115" t="s">
        <v>229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251</v>
      </c>
    </row>
    <row r="30" spans="1:10" x14ac:dyDescent="0.2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254</v>
      </c>
      <c r="J30" s="113" t="s">
        <v>252</v>
      </c>
    </row>
    <row r="31" spans="1:10" x14ac:dyDescent="0.2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253</v>
      </c>
    </row>
    <row r="32" spans="1:10" x14ac:dyDescent="0.2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253</v>
      </c>
    </row>
    <row r="33" spans="1:9" x14ac:dyDescent="0.2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49</v>
      </c>
    </row>
    <row r="34" spans="1:9" x14ac:dyDescent="0.2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254</v>
      </c>
    </row>
    <row r="35" spans="1:9" x14ac:dyDescent="0.2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256</v>
      </c>
    </row>
    <row r="36" spans="1:9" x14ac:dyDescent="0.2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256</v>
      </c>
    </row>
    <row r="37" spans="1:9" x14ac:dyDescent="0.2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254</v>
      </c>
    </row>
    <row r="38" spans="1:9" x14ac:dyDescent="0.2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256</v>
      </c>
    </row>
    <row r="39" spans="1:9" x14ac:dyDescent="0.2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256</v>
      </c>
    </row>
    <row r="40" spans="1:9" x14ac:dyDescent="0.2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256</v>
      </c>
    </row>
    <row r="41" spans="1:9" x14ac:dyDescent="0.2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256</v>
      </c>
    </row>
    <row r="42" spans="1:9" x14ac:dyDescent="0.2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256</v>
      </c>
    </row>
    <row r="43" spans="1:9" x14ac:dyDescent="0.2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256</v>
      </c>
    </row>
    <row r="44" spans="1:9" x14ac:dyDescent="0.2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256</v>
      </c>
    </row>
    <row r="45" spans="1:9" x14ac:dyDescent="0.2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256</v>
      </c>
    </row>
    <row r="46" spans="1:9" x14ac:dyDescent="0.2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 x14ac:dyDescent="0.2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254</v>
      </c>
    </row>
    <row r="48" spans="1:9" x14ac:dyDescent="0.2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 x14ac:dyDescent="0.2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255</v>
      </c>
    </row>
    <row r="50" spans="1:9" x14ac:dyDescent="0.2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 x14ac:dyDescent="0.2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254</v>
      </c>
    </row>
    <row r="52" spans="1:9" x14ac:dyDescent="0.2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255</v>
      </c>
    </row>
    <row r="53" spans="1:9" x14ac:dyDescent="0.2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256</v>
      </c>
    </row>
    <row r="54" spans="1:9" x14ac:dyDescent="0.2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255</v>
      </c>
    </row>
    <row r="55" spans="1:9" x14ac:dyDescent="0.2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 x14ac:dyDescent="0.2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 x14ac:dyDescent="0.2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255</v>
      </c>
    </row>
    <row r="58" spans="1:9" x14ac:dyDescent="0.2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 x14ac:dyDescent="0.2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255</v>
      </c>
    </row>
    <row r="60" spans="1:9" x14ac:dyDescent="0.2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255</v>
      </c>
    </row>
    <row r="61" spans="1:9" x14ac:dyDescent="0.2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 x14ac:dyDescent="0.2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 x14ac:dyDescent="0.2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 x14ac:dyDescent="0.2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 x14ac:dyDescent="0.2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 x14ac:dyDescent="0.2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254</v>
      </c>
    </row>
    <row r="67" spans="1:9" x14ac:dyDescent="0.2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254</v>
      </c>
    </row>
    <row r="68" spans="1:9" x14ac:dyDescent="0.2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254</v>
      </c>
    </row>
    <row r="69" spans="1:9" x14ac:dyDescent="0.2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 x14ac:dyDescent="0.2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254</v>
      </c>
    </row>
    <row r="71" spans="1:9" x14ac:dyDescent="0.2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 x14ac:dyDescent="0.2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255</v>
      </c>
    </row>
    <row r="73" spans="1:9" x14ac:dyDescent="0.2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 x14ac:dyDescent="0.2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 x14ac:dyDescent="0.2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255</v>
      </c>
    </row>
    <row r="76" spans="1:9" x14ac:dyDescent="0.2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254</v>
      </c>
    </row>
    <row r="77" spans="1:9" x14ac:dyDescent="0.2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254</v>
      </c>
    </row>
    <row r="78" spans="1:9" x14ac:dyDescent="0.2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 x14ac:dyDescent="0.2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 x14ac:dyDescent="0.2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256</v>
      </c>
    </row>
    <row r="81" spans="1:9" x14ac:dyDescent="0.2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254</v>
      </c>
    </row>
    <row r="82" spans="1:9" x14ac:dyDescent="0.2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 x14ac:dyDescent="0.2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 x14ac:dyDescent="0.2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 x14ac:dyDescent="0.2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256</v>
      </c>
    </row>
    <row r="86" spans="1:9" x14ac:dyDescent="0.2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256</v>
      </c>
    </row>
    <row r="87" spans="1:9" x14ac:dyDescent="0.2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256</v>
      </c>
    </row>
    <row r="88" spans="1:9" x14ac:dyDescent="0.2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256</v>
      </c>
    </row>
    <row r="89" spans="1:9" x14ac:dyDescent="0.2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 x14ac:dyDescent="0.2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 x14ac:dyDescent="0.2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 x14ac:dyDescent="0.2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 x14ac:dyDescent="0.2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 x14ac:dyDescent="0.2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 x14ac:dyDescent="0.2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 x14ac:dyDescent="0.2"/>
    <row r="97" spans="1:8" hidden="1" x14ac:dyDescent="0.2">
      <c r="A97" s="129" t="s">
        <v>230</v>
      </c>
      <c r="B97" s="128">
        <f>+B95/5</f>
        <v>5772333.7999999998</v>
      </c>
    </row>
    <row r="98" spans="1:8" x14ac:dyDescent="0.2">
      <c r="H98" s="126">
        <f>+D98+F98</f>
        <v>0</v>
      </c>
    </row>
    <row r="99" spans="1:8" x14ac:dyDescent="0.2">
      <c r="H99" s="126">
        <f>+D99+F99</f>
        <v>0</v>
      </c>
    </row>
    <row r="101" spans="1:8" x14ac:dyDescent="0.2">
      <c r="E101" s="126">
        <f>SUBTOTAL(9,E33:E100)</f>
        <v>4507126.4400000013</v>
      </c>
    </row>
    <row r="103" spans="1:8" ht="18" x14ac:dyDescent="0.25">
      <c r="B103" s="130">
        <f>+B95+G95</f>
        <v>36220370.930000007</v>
      </c>
    </row>
  </sheetData>
  <autoFilter ref="A1:J95"/>
  <customSheetViews>
    <customSheetView guid="{6DF61089-79B2-41AA-A0E5-3D263EEF5CE4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</customSheetViews>
  <pageMargins left="0" right="0" top="0" bottom="0" header="0.31496062992125984" footer="0.31496062992125984"/>
  <pageSetup paperSize="9" scale="85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opLeftCell="A7" workbookViewId="0">
      <selection activeCell="K13" sqref="K13"/>
    </sheetView>
  </sheetViews>
  <sheetFormatPr defaultRowHeight="12.75" x14ac:dyDescent="0.2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 x14ac:dyDescent="0.2">
      <c r="B6" s="155"/>
      <c r="C6" s="155"/>
      <c r="D6" s="156" t="s">
        <v>507</v>
      </c>
      <c r="E6" s="157"/>
      <c r="F6" s="157"/>
      <c r="G6" s="157"/>
      <c r="H6" s="155"/>
    </row>
    <row r="7" spans="2:11" ht="13.5" thickBot="1" x14ac:dyDescent="0.25">
      <c r="B7" s="155"/>
      <c r="C7" s="155"/>
      <c r="D7" s="155"/>
      <c r="E7" s="155"/>
      <c r="F7" s="155"/>
      <c r="G7" s="155"/>
      <c r="H7" s="155"/>
    </row>
    <row r="8" spans="2:11" ht="51.75" thickBot="1" x14ac:dyDescent="0.25">
      <c r="B8" s="158" t="s">
        <v>508</v>
      </c>
      <c r="C8" s="159" t="s">
        <v>509</v>
      </c>
      <c r="D8" s="160" t="s">
        <v>510</v>
      </c>
      <c r="E8" s="160" t="s">
        <v>511</v>
      </c>
      <c r="F8" s="160" t="s">
        <v>512</v>
      </c>
      <c r="G8" s="161" t="s">
        <v>513</v>
      </c>
      <c r="H8" s="155"/>
    </row>
    <row r="9" spans="2:11" x14ac:dyDescent="0.2">
      <c r="B9" s="162" t="s">
        <v>514</v>
      </c>
      <c r="C9" s="163" t="s">
        <v>515</v>
      </c>
      <c r="D9" s="164">
        <v>211698</v>
      </c>
      <c r="E9" s="165" t="s">
        <v>516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 x14ac:dyDescent="0.2">
      <c r="B10" s="162" t="s">
        <v>517</v>
      </c>
      <c r="C10" s="169" t="s">
        <v>518</v>
      </c>
      <c r="D10" s="164">
        <v>211699</v>
      </c>
      <c r="E10" s="165" t="s">
        <v>516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 x14ac:dyDescent="0.2">
      <c r="B11" s="162" t="s">
        <v>517</v>
      </c>
      <c r="C11" s="163" t="s">
        <v>519</v>
      </c>
      <c r="D11" s="164">
        <v>211701</v>
      </c>
      <c r="E11" s="165" t="s">
        <v>516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 x14ac:dyDescent="0.2">
      <c r="B12" s="162" t="s">
        <v>517</v>
      </c>
      <c r="C12" s="170" t="s">
        <v>520</v>
      </c>
      <c r="D12" s="164">
        <v>211704</v>
      </c>
      <c r="E12" s="165" t="s">
        <v>516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 x14ac:dyDescent="0.2">
      <c r="B13" s="162" t="s">
        <v>517</v>
      </c>
      <c r="C13" s="170" t="s">
        <v>521</v>
      </c>
      <c r="D13" s="164">
        <v>211706</v>
      </c>
      <c r="E13" s="165" t="s">
        <v>516</v>
      </c>
      <c r="F13" s="166">
        <v>13362.3</v>
      </c>
      <c r="G13" s="167">
        <v>1640.98</v>
      </c>
      <c r="H13" s="168">
        <f t="shared" si="0"/>
        <v>160347.59999999998</v>
      </c>
    </row>
    <row r="14" spans="2:11" x14ac:dyDescent="0.2">
      <c r="B14" s="162" t="s">
        <v>517</v>
      </c>
      <c r="C14" s="170" t="s">
        <v>522</v>
      </c>
      <c r="D14" s="164">
        <v>211708</v>
      </c>
      <c r="E14" s="165" t="s">
        <v>516</v>
      </c>
      <c r="F14" s="166">
        <v>14670.23</v>
      </c>
      <c r="G14" s="167">
        <v>1801.61</v>
      </c>
      <c r="H14" s="168">
        <f t="shared" si="0"/>
        <v>176042.76</v>
      </c>
    </row>
    <row r="15" spans="2:11" x14ac:dyDescent="0.2">
      <c r="B15" s="162" t="s">
        <v>523</v>
      </c>
      <c r="C15" s="170" t="s">
        <v>524</v>
      </c>
      <c r="D15" s="164">
        <v>211722</v>
      </c>
      <c r="E15" s="165" t="s">
        <v>516</v>
      </c>
      <c r="F15" s="166">
        <v>6892.51</v>
      </c>
      <c r="G15" s="167">
        <v>846.45</v>
      </c>
      <c r="H15" s="168">
        <f t="shared" si="0"/>
        <v>82710.12</v>
      </c>
    </row>
    <row r="16" spans="2:11" x14ac:dyDescent="0.2">
      <c r="B16" s="162" t="s">
        <v>525</v>
      </c>
      <c r="C16" s="170" t="s">
        <v>526</v>
      </c>
      <c r="D16" s="164">
        <v>211711</v>
      </c>
      <c r="E16" s="165" t="s">
        <v>516</v>
      </c>
      <c r="F16" s="166">
        <v>8221.42</v>
      </c>
      <c r="G16" s="167">
        <v>1009.65</v>
      </c>
      <c r="H16" s="168">
        <f t="shared" si="0"/>
        <v>98657.040000000008</v>
      </c>
    </row>
    <row r="17" spans="2:8" x14ac:dyDescent="0.2">
      <c r="B17" s="162" t="s">
        <v>525</v>
      </c>
      <c r="C17" s="170" t="s">
        <v>527</v>
      </c>
      <c r="D17" s="164">
        <v>211712</v>
      </c>
      <c r="E17" s="165" t="s">
        <v>516</v>
      </c>
      <c r="F17" s="166">
        <v>10212.11</v>
      </c>
      <c r="G17" s="167">
        <v>1254.1199999999999</v>
      </c>
      <c r="H17" s="168">
        <f t="shared" si="0"/>
        <v>122545.32</v>
      </c>
    </row>
    <row r="18" spans="2:8" x14ac:dyDescent="0.2">
      <c r="B18" s="162" t="s">
        <v>525</v>
      </c>
      <c r="C18" s="170" t="s">
        <v>528</v>
      </c>
      <c r="D18" s="164">
        <v>211716</v>
      </c>
      <c r="E18" s="165" t="s">
        <v>516</v>
      </c>
      <c r="F18" s="166">
        <v>9227.8799999999992</v>
      </c>
      <c r="G18" s="167">
        <v>1133.25</v>
      </c>
      <c r="H18" s="168">
        <f t="shared" si="0"/>
        <v>110734.56</v>
      </c>
    </row>
    <row r="19" spans="2:8" x14ac:dyDescent="0.2">
      <c r="B19" s="171" t="s">
        <v>529</v>
      </c>
      <c r="C19" s="172" t="s">
        <v>530</v>
      </c>
      <c r="D19" s="164">
        <v>211721</v>
      </c>
      <c r="E19" s="165" t="s">
        <v>516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 x14ac:dyDescent="0.25">
      <c r="B20" s="173"/>
      <c r="C20" s="174"/>
      <c r="D20" s="175"/>
      <c r="E20" s="176"/>
      <c r="F20" s="177"/>
      <c r="G20" s="178"/>
      <c r="H20" s="155"/>
    </row>
    <row r="24" spans="2:8" ht="13.5" thickBot="1" x14ac:dyDescent="0.25">
      <c r="B24" s="179"/>
      <c r="C24" s="179"/>
      <c r="D24" s="179"/>
      <c r="E24" s="179"/>
      <c r="F24" s="179"/>
      <c r="G24" s="179"/>
      <c r="H24" s="179"/>
    </row>
    <row r="25" spans="2:8" ht="51.75" thickBot="1" x14ac:dyDescent="0.25">
      <c r="B25" s="180" t="s">
        <v>508</v>
      </c>
      <c r="C25" s="181" t="s">
        <v>509</v>
      </c>
      <c r="D25" s="182" t="s">
        <v>510</v>
      </c>
      <c r="E25" s="182" t="s">
        <v>511</v>
      </c>
      <c r="F25" s="182" t="s">
        <v>512</v>
      </c>
      <c r="G25" s="183" t="s">
        <v>513</v>
      </c>
      <c r="H25" s="179"/>
    </row>
    <row r="26" spans="2:8" x14ac:dyDescent="0.2">
      <c r="B26" s="184" t="s">
        <v>531</v>
      </c>
      <c r="C26" s="185" t="s">
        <v>532</v>
      </c>
      <c r="D26" s="186">
        <v>211689</v>
      </c>
      <c r="E26" s="187" t="s">
        <v>516</v>
      </c>
      <c r="F26" s="188">
        <v>5418.79</v>
      </c>
      <c r="G26" s="189">
        <v>665.46</v>
      </c>
      <c r="H26" s="179">
        <f>F26*12</f>
        <v>65025.479999999996</v>
      </c>
    </row>
    <row r="27" spans="2:8" x14ac:dyDescent="0.2">
      <c r="B27" s="184" t="s">
        <v>531</v>
      </c>
      <c r="C27" s="185" t="s">
        <v>533</v>
      </c>
      <c r="D27" s="186">
        <v>211696</v>
      </c>
      <c r="E27" s="187" t="s">
        <v>516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 x14ac:dyDescent="0.2">
      <c r="B28" s="184" t="s">
        <v>531</v>
      </c>
      <c r="C28" s="185" t="s">
        <v>534</v>
      </c>
      <c r="D28" s="186">
        <v>211702</v>
      </c>
      <c r="E28" s="187" t="s">
        <v>516</v>
      </c>
      <c r="F28" s="188">
        <v>5163.37</v>
      </c>
      <c r="G28" s="189">
        <v>634.1</v>
      </c>
      <c r="H28" s="179">
        <f t="shared" si="1"/>
        <v>61960.44</v>
      </c>
    </row>
    <row r="29" spans="2:8" x14ac:dyDescent="0.2">
      <c r="B29" s="184" t="s">
        <v>535</v>
      </c>
      <c r="C29" s="185" t="s">
        <v>536</v>
      </c>
      <c r="D29" s="186">
        <v>211705</v>
      </c>
      <c r="E29" s="187" t="s">
        <v>516</v>
      </c>
      <c r="F29" s="188">
        <v>6998.47</v>
      </c>
      <c r="G29" s="189">
        <v>44.66</v>
      </c>
      <c r="H29" s="179">
        <f t="shared" si="1"/>
        <v>83981.64</v>
      </c>
    </row>
    <row r="30" spans="2:8" x14ac:dyDescent="0.2">
      <c r="B30" s="184" t="s">
        <v>537</v>
      </c>
      <c r="C30" s="185" t="s">
        <v>538</v>
      </c>
      <c r="D30" s="186">
        <v>211710</v>
      </c>
      <c r="E30" s="187" t="s">
        <v>516</v>
      </c>
      <c r="F30" s="188">
        <v>2931.11</v>
      </c>
      <c r="G30" s="189">
        <v>40.42</v>
      </c>
      <c r="H30" s="179">
        <f t="shared" si="1"/>
        <v>35173.32</v>
      </c>
    </row>
    <row r="31" spans="2:8" x14ac:dyDescent="0.2">
      <c r="B31" s="184" t="s">
        <v>539</v>
      </c>
      <c r="C31" s="185" t="s">
        <v>540</v>
      </c>
      <c r="D31" s="186">
        <v>211714</v>
      </c>
      <c r="E31" s="187" t="s">
        <v>516</v>
      </c>
      <c r="F31" s="188">
        <v>3684.87</v>
      </c>
      <c r="G31" s="189">
        <v>452.53</v>
      </c>
      <c r="H31" s="179">
        <f t="shared" si="1"/>
        <v>44218.44</v>
      </c>
    </row>
    <row r="32" spans="2:8" x14ac:dyDescent="0.2">
      <c r="B32" s="184" t="s">
        <v>539</v>
      </c>
      <c r="C32" s="185" t="s">
        <v>541</v>
      </c>
      <c r="D32" s="186">
        <v>211718</v>
      </c>
      <c r="E32" s="187" t="s">
        <v>516</v>
      </c>
      <c r="F32" s="188">
        <v>3596.62</v>
      </c>
      <c r="G32" s="189">
        <v>441.69</v>
      </c>
      <c r="H32" s="179">
        <f t="shared" si="1"/>
        <v>43159.44</v>
      </c>
    </row>
    <row r="33" spans="2:8" x14ac:dyDescent="0.2">
      <c r="B33" s="190" t="s">
        <v>539</v>
      </c>
      <c r="C33" s="191" t="s">
        <v>542</v>
      </c>
      <c r="D33" s="186">
        <v>211723</v>
      </c>
      <c r="E33" s="187" t="s">
        <v>516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 x14ac:dyDescent="0.25">
      <c r="B34" s="192"/>
      <c r="C34" s="193"/>
      <c r="D34" s="194"/>
      <c r="E34" s="195"/>
      <c r="F34" s="196"/>
      <c r="G34" s="197"/>
      <c r="H34" s="179"/>
    </row>
    <row r="35" spans="2:8" x14ac:dyDescent="0.2">
      <c r="B35" s="198"/>
      <c r="C35" s="198"/>
      <c r="D35" s="199"/>
      <c r="E35" s="200"/>
      <c r="F35" s="198"/>
      <c r="G35" s="198"/>
      <c r="H35" s="201"/>
    </row>
  </sheetData>
  <customSheetViews>
    <customSheetView guid="{6DF61089-79B2-41AA-A0E5-3D263EEF5CE4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140625" defaultRowHeight="12" x14ac:dyDescent="0.15"/>
  <cols>
    <col min="1" max="1" width="5.42578125" style="403" bestFit="1" customWidth="1"/>
    <col min="2" max="2" width="6.7109375" style="400" bestFit="1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 x14ac:dyDescent="0.15">
      <c r="A1" s="408" t="s">
        <v>1493</v>
      </c>
      <c r="B1" s="401" t="s">
        <v>1494</v>
      </c>
      <c r="C1" s="401" t="s">
        <v>1495</v>
      </c>
      <c r="D1" s="402" t="s">
        <v>292</v>
      </c>
    </row>
    <row r="2" spans="1:5" x14ac:dyDescent="0.1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 x14ac:dyDescent="0.1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 x14ac:dyDescent="0.15">
      <c r="A4" s="409" t="s">
        <v>304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 x14ac:dyDescent="0.15">
      <c r="A5" s="409" t="s">
        <v>304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 x14ac:dyDescent="0.15">
      <c r="A6" s="409" t="s">
        <v>308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 x14ac:dyDescent="0.15">
      <c r="A7" s="409" t="s">
        <v>308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 x14ac:dyDescent="0.15">
      <c r="A8" s="409" t="s">
        <v>310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 x14ac:dyDescent="0.15">
      <c r="A9" s="409" t="s">
        <v>310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 x14ac:dyDescent="0.15">
      <c r="A10" s="409" t="s">
        <v>312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 x14ac:dyDescent="0.15">
      <c r="A11" s="409" t="s">
        <v>312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 x14ac:dyDescent="0.15">
      <c r="A12" s="409" t="s">
        <v>327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 x14ac:dyDescent="0.15">
      <c r="A13" s="409" t="s">
        <v>327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 x14ac:dyDescent="0.15">
      <c r="A14" s="409" t="s">
        <v>404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 x14ac:dyDescent="0.15">
      <c r="A15" s="409" t="s">
        <v>404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 x14ac:dyDescent="0.15">
      <c r="A16" s="409" t="s">
        <v>317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 x14ac:dyDescent="0.15">
      <c r="A17" s="409" t="s">
        <v>317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 x14ac:dyDescent="0.15">
      <c r="A18" s="409" t="s">
        <v>320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 x14ac:dyDescent="0.15">
      <c r="A19" s="409" t="s">
        <v>320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 x14ac:dyDescent="0.15">
      <c r="A20" s="409" t="s">
        <v>321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 x14ac:dyDescent="0.15">
      <c r="A21" s="409" t="s">
        <v>321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 x14ac:dyDescent="0.15">
      <c r="A22" s="409" t="s">
        <v>323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 x14ac:dyDescent="0.15">
      <c r="A23" s="409" t="s">
        <v>323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 x14ac:dyDescent="0.15">
      <c r="A24" s="409" t="s">
        <v>325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 x14ac:dyDescent="0.15">
      <c r="A25" s="409" t="s">
        <v>325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 x14ac:dyDescent="0.15">
      <c r="A26" s="409" t="s">
        <v>326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 x14ac:dyDescent="0.15">
      <c r="A27" s="409" t="s">
        <v>326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 x14ac:dyDescent="0.15">
      <c r="A28" s="409" t="s">
        <v>329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 x14ac:dyDescent="0.15">
      <c r="A29" s="409" t="s">
        <v>329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 x14ac:dyDescent="0.15">
      <c r="A30" s="409" t="s">
        <v>387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 x14ac:dyDescent="0.15">
      <c r="A31" s="409" t="s">
        <v>387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 x14ac:dyDescent="0.15">
      <c r="A32" s="409" t="s">
        <v>389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 x14ac:dyDescent="0.15">
      <c r="A33" s="409" t="s">
        <v>389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 x14ac:dyDescent="0.15">
      <c r="A34" s="409" t="s">
        <v>391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 x14ac:dyDescent="0.15">
      <c r="A35" s="409" t="s">
        <v>391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 x14ac:dyDescent="0.15">
      <c r="A36" s="409" t="s">
        <v>393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 x14ac:dyDescent="0.15">
      <c r="A37" s="409" t="s">
        <v>393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 x14ac:dyDescent="0.15">
      <c r="A38" s="409" t="s">
        <v>406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 x14ac:dyDescent="0.15">
      <c r="A39" s="409" t="s">
        <v>406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 x14ac:dyDescent="0.15">
      <c r="A40" s="409" t="s">
        <v>408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 x14ac:dyDescent="0.15">
      <c r="A41" s="409" t="s">
        <v>408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 x14ac:dyDescent="0.15">
      <c r="A42" s="409" t="s">
        <v>410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 x14ac:dyDescent="0.15">
      <c r="A43" s="409" t="s">
        <v>410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 x14ac:dyDescent="0.15">
      <c r="A44" s="409" t="s">
        <v>412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 x14ac:dyDescent="0.15">
      <c r="A45" s="409" t="s">
        <v>412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 x14ac:dyDescent="0.15">
      <c r="A46" s="409" t="s">
        <v>420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 x14ac:dyDescent="0.15">
      <c r="A47" s="409" t="s">
        <v>420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 x14ac:dyDescent="0.15">
      <c r="A48" s="409" t="s">
        <v>422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 x14ac:dyDescent="0.15">
      <c r="A49" s="409" t="s">
        <v>422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 x14ac:dyDescent="0.15">
      <c r="A50" s="409" t="s">
        <v>424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 x14ac:dyDescent="0.15">
      <c r="A51" s="409" t="s">
        <v>424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 x14ac:dyDescent="0.15">
      <c r="A52" s="409" t="s">
        <v>426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 x14ac:dyDescent="0.15">
      <c r="A53" s="409" t="s">
        <v>426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 x14ac:dyDescent="0.15">
      <c r="A54" s="409" t="s">
        <v>428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 x14ac:dyDescent="0.15">
      <c r="A55" s="409" t="s">
        <v>428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 x14ac:dyDescent="0.15">
      <c r="A56" s="409" t="s">
        <v>331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 x14ac:dyDescent="0.15">
      <c r="A57" s="409" t="s">
        <v>331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 x14ac:dyDescent="0.15">
      <c r="A58" s="409" t="s">
        <v>261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 x14ac:dyDescent="0.15">
      <c r="A59" s="409" t="s">
        <v>261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 x14ac:dyDescent="0.15">
      <c r="A60" s="409" t="s">
        <v>262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 x14ac:dyDescent="0.15">
      <c r="A61" s="409" t="s">
        <v>262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 x14ac:dyDescent="0.15">
      <c r="A62" s="409" t="s">
        <v>263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 x14ac:dyDescent="0.15">
      <c r="A63" s="409" t="s">
        <v>263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 x14ac:dyDescent="0.15">
      <c r="A64" s="409" t="s">
        <v>264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 x14ac:dyDescent="0.15">
      <c r="A65" s="409" t="s">
        <v>264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 x14ac:dyDescent="0.15">
      <c r="A66" s="409" t="s">
        <v>265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 x14ac:dyDescent="0.15">
      <c r="A67" s="409" t="s">
        <v>265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 x14ac:dyDescent="0.15">
      <c r="A68" s="409" t="s">
        <v>266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 x14ac:dyDescent="0.15">
      <c r="A69" s="409" t="s">
        <v>266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 x14ac:dyDescent="0.15">
      <c r="A70" s="409" t="s">
        <v>267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 x14ac:dyDescent="0.15">
      <c r="A71" s="409" t="s">
        <v>267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 x14ac:dyDescent="0.15">
      <c r="A72" s="409" t="s">
        <v>268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 x14ac:dyDescent="0.15">
      <c r="A73" s="409" t="s">
        <v>268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 x14ac:dyDescent="0.15">
      <c r="A74" s="409" t="s">
        <v>269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 x14ac:dyDescent="0.15">
      <c r="A75" s="409" t="s">
        <v>269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 x14ac:dyDescent="0.15">
      <c r="A76" s="409" t="s">
        <v>270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 x14ac:dyDescent="0.15">
      <c r="A77" s="409" t="s">
        <v>270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 x14ac:dyDescent="0.15">
      <c r="A78" s="409" t="s">
        <v>271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 x14ac:dyDescent="0.15">
      <c r="A79" s="409" t="s">
        <v>271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 x14ac:dyDescent="0.15">
      <c r="A80" s="409" t="s">
        <v>272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 x14ac:dyDescent="0.15">
      <c r="A81" s="409" t="s">
        <v>272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 x14ac:dyDescent="0.15">
      <c r="A82" s="409" t="s">
        <v>273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 x14ac:dyDescent="0.15">
      <c r="A83" s="409" t="s">
        <v>273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 x14ac:dyDescent="0.15">
      <c r="A84" s="409" t="s">
        <v>314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 x14ac:dyDescent="0.15">
      <c r="A85" s="409" t="s">
        <v>314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 x14ac:dyDescent="0.15">
      <c r="A86" s="409" t="s">
        <v>328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 x14ac:dyDescent="0.15">
      <c r="A87" s="409" t="s">
        <v>328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 x14ac:dyDescent="0.15">
      <c r="A88" s="409" t="s">
        <v>348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 x14ac:dyDescent="0.15">
      <c r="A89" s="409" t="s">
        <v>348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 x14ac:dyDescent="0.15">
      <c r="A90" s="409" t="s">
        <v>395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 x14ac:dyDescent="0.15">
      <c r="A91" s="409" t="s">
        <v>395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 x14ac:dyDescent="0.15">
      <c r="A92" s="409" t="s">
        <v>397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 x14ac:dyDescent="0.15">
      <c r="A93" s="409" t="s">
        <v>397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 x14ac:dyDescent="0.15">
      <c r="A94" s="409" t="s">
        <v>398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 x14ac:dyDescent="0.15">
      <c r="A95" s="409" t="s">
        <v>398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 x14ac:dyDescent="0.15">
      <c r="A96" s="409" t="s">
        <v>349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 x14ac:dyDescent="0.15">
      <c r="A97" s="409" t="s">
        <v>349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 x14ac:dyDescent="0.15">
      <c r="A98" s="409" t="s">
        <v>335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 x14ac:dyDescent="0.15">
      <c r="A99" s="409" t="s">
        <v>335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 x14ac:dyDescent="0.15">
      <c r="A100" s="409" t="s">
        <v>338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 x14ac:dyDescent="0.15">
      <c r="A101" s="409" t="s">
        <v>338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 x14ac:dyDescent="0.15">
      <c r="A102" s="409" t="s">
        <v>400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 x14ac:dyDescent="0.15">
      <c r="A103" s="409" t="s">
        <v>400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 x14ac:dyDescent="0.15">
      <c r="A104" s="409" t="s">
        <v>402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 x14ac:dyDescent="0.15">
      <c r="A105" s="409" t="s">
        <v>402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 x14ac:dyDescent="0.15">
      <c r="A106" s="409" t="s">
        <v>437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 x14ac:dyDescent="0.15">
      <c r="A107" s="409" t="s">
        <v>437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 x14ac:dyDescent="0.15">
      <c r="A108" s="409" t="s">
        <v>439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 x14ac:dyDescent="0.15">
      <c r="A109" s="409" t="s">
        <v>439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 x14ac:dyDescent="0.15">
      <c r="A110" s="409" t="s">
        <v>441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 x14ac:dyDescent="0.15">
      <c r="A111" s="409" t="s">
        <v>441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 x14ac:dyDescent="0.15">
      <c r="A112" s="409" t="s">
        <v>340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 x14ac:dyDescent="0.15">
      <c r="A113" s="409" t="s">
        <v>340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 x14ac:dyDescent="0.15">
      <c r="A114" s="409" t="s">
        <v>342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 x14ac:dyDescent="0.15">
      <c r="A115" s="409" t="s">
        <v>342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 x14ac:dyDescent="0.15">
      <c r="A116" s="409" t="s">
        <v>343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 x14ac:dyDescent="0.15">
      <c r="A117" s="409" t="s">
        <v>343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 x14ac:dyDescent="0.15">
      <c r="A118" s="409" t="s">
        <v>275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 x14ac:dyDescent="0.15">
      <c r="A119" s="409" t="s">
        <v>275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 x14ac:dyDescent="0.15">
      <c r="A120" s="409" t="s">
        <v>354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 x14ac:dyDescent="0.15">
      <c r="A121" s="409" t="s">
        <v>354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 x14ac:dyDescent="0.15">
      <c r="A122" s="409" t="s">
        <v>276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 x14ac:dyDescent="0.15">
      <c r="A123" s="409" t="s">
        <v>276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 x14ac:dyDescent="0.15">
      <c r="A124" s="409" t="s">
        <v>277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 x14ac:dyDescent="0.15">
      <c r="A125" s="409" t="s">
        <v>277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 x14ac:dyDescent="0.15">
      <c r="A126" s="409" t="s">
        <v>278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 x14ac:dyDescent="0.15">
      <c r="A127" s="409" t="s">
        <v>278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 x14ac:dyDescent="0.15">
      <c r="A128" s="409" t="s">
        <v>365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 x14ac:dyDescent="0.15">
      <c r="A129" s="409" t="s">
        <v>365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 x14ac:dyDescent="0.15">
      <c r="A130" s="409" t="s">
        <v>367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 x14ac:dyDescent="0.15">
      <c r="A131" s="409" t="s">
        <v>367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 x14ac:dyDescent="0.15">
      <c r="A132" s="410" t="s">
        <v>369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 x14ac:dyDescent="0.15">
      <c r="A133" s="410" t="s">
        <v>369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 x14ac:dyDescent="0.15">
      <c r="A134" s="409" t="s">
        <v>371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 x14ac:dyDescent="0.15">
      <c r="A135" s="409" t="s">
        <v>371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 x14ac:dyDescent="0.15">
      <c r="A136" s="409" t="s">
        <v>379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 x14ac:dyDescent="0.15">
      <c r="A137" s="409" t="s">
        <v>379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 x14ac:dyDescent="0.15">
      <c r="A138" s="409" t="s">
        <v>385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 x14ac:dyDescent="0.15">
      <c r="A139" s="409" t="s">
        <v>385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 x14ac:dyDescent="0.15">
      <c r="A140" s="409" t="s">
        <v>447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 x14ac:dyDescent="0.15">
      <c r="A141" s="409" t="s">
        <v>447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 x14ac:dyDescent="0.15">
      <c r="A142" s="409" t="s">
        <v>448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 x14ac:dyDescent="0.15">
      <c r="A143" s="409" t="s">
        <v>448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 x14ac:dyDescent="0.15">
      <c r="A144" s="409" t="s">
        <v>449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 x14ac:dyDescent="0.15">
      <c r="A145" s="409" t="s">
        <v>449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 x14ac:dyDescent="0.15">
      <c r="A146" s="409" t="s">
        <v>376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 x14ac:dyDescent="0.15">
      <c r="A147" s="409" t="s">
        <v>376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 x14ac:dyDescent="0.15">
      <c r="A148" s="409" t="s">
        <v>279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 x14ac:dyDescent="0.15">
      <c r="A149" s="409" t="s">
        <v>279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 x14ac:dyDescent="0.15">
      <c r="A150" s="409" t="s">
        <v>280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 x14ac:dyDescent="0.15">
      <c r="A151" s="409" t="s">
        <v>280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 x14ac:dyDescent="0.1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 x14ac:dyDescent="0.1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 x14ac:dyDescent="0.1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 x14ac:dyDescent="0.1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 x14ac:dyDescent="0.1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 x14ac:dyDescent="0.1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 x14ac:dyDescent="0.15">
      <c r="A158" s="409" t="s">
        <v>382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 x14ac:dyDescent="0.15">
      <c r="A159" s="409" t="s">
        <v>382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 x14ac:dyDescent="0.15">
      <c r="A160" s="410" t="s">
        <v>443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 x14ac:dyDescent="0.15">
      <c r="A161" s="410" t="s">
        <v>443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 x14ac:dyDescent="0.15">
      <c r="A162" s="409" t="s">
        <v>445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 x14ac:dyDescent="0.15">
      <c r="A163" s="409" t="s">
        <v>445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 x14ac:dyDescent="0.15">
      <c r="A164" s="409" t="s">
        <v>282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 x14ac:dyDescent="0.15">
      <c r="A165" s="409" t="s">
        <v>282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 x14ac:dyDescent="0.15">
      <c r="A166" s="409" t="s">
        <v>283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 x14ac:dyDescent="0.15">
      <c r="A167" s="409" t="s">
        <v>283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 x14ac:dyDescent="0.1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 x14ac:dyDescent="0.1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 x14ac:dyDescent="0.1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 x14ac:dyDescent="0.1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 x14ac:dyDescent="0.1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 x14ac:dyDescent="0.1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 x14ac:dyDescent="0.1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 x14ac:dyDescent="0.1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 x14ac:dyDescent="0.1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 x14ac:dyDescent="0.1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 x14ac:dyDescent="0.1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 x14ac:dyDescent="0.1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 x14ac:dyDescent="0.1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 x14ac:dyDescent="0.1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 x14ac:dyDescent="0.1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 x14ac:dyDescent="0.1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 x14ac:dyDescent="0.1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 x14ac:dyDescent="0.1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 x14ac:dyDescent="0.1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 x14ac:dyDescent="0.1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 x14ac:dyDescent="0.1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 x14ac:dyDescent="0.1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 x14ac:dyDescent="0.1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 x14ac:dyDescent="0.1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 x14ac:dyDescent="0.1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 x14ac:dyDescent="0.1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 x14ac:dyDescent="0.1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 x14ac:dyDescent="0.1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 x14ac:dyDescent="0.1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 x14ac:dyDescent="0.1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 x14ac:dyDescent="0.1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 x14ac:dyDescent="0.1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6DF61089-79B2-41AA-A0E5-3D263EEF5CE4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3"/>
      <autoFilter ref="A1:G199"/>
    </customSheetView>
  </customSheetViews>
  <pageMargins left="0.7" right="0.7" top="0.75" bottom="0.75" header="0.3" footer="0.3"/>
  <pageSetup paperSize="9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 x14ac:dyDescent="0.2"/>
  <sheetData/>
  <customSheetViews>
    <customSheetView guid="{6DF61089-79B2-41AA-A0E5-3D263EEF5CE4}">
      <pageMargins left="0.7" right="0.7" top="0.75" bottom="0.75" header="0.3" footer="0.3"/>
      <pageSetup paperSize="9" orientation="portrait" r:id="rId1"/>
    </customSheetView>
    <customSheetView guid="{594C4AB0-8D5F-4373-9663-410F4413FE3A}" showPageBreaks="1">
      <pageMargins left="0.7" right="0.7" top="0.75" bottom="0.75" header="0.3" footer="0.3"/>
      <pageSetup paperSize="9" orientation="portrait" r:id="rId2"/>
    </customSheetView>
    <customSheetView guid="{DF69299D-7752-4436-A45D-28F739CEE21B}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9" sqref="L9:L13"/>
    </sheetView>
  </sheetViews>
  <sheetFormatPr defaultColWidth="9.140625" defaultRowHeight="11.25" x14ac:dyDescent="0.2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8" width="10.1406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 x14ac:dyDescent="0.2">
      <c r="A1" s="18" t="s">
        <v>1499</v>
      </c>
      <c r="D1" s="17" t="s">
        <v>597</v>
      </c>
    </row>
    <row r="3" spans="1:20" s="18" customFormat="1" ht="33" customHeight="1" x14ac:dyDescent="0.2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178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 x14ac:dyDescent="0.25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 x14ac:dyDescent="0.25">
      <c r="A7" s="330" t="s">
        <v>10</v>
      </c>
      <c r="B7" s="331" t="s">
        <v>482</v>
      </c>
      <c r="D7" s="542" t="s">
        <v>673</v>
      </c>
      <c r="E7" s="543"/>
      <c r="F7" s="544"/>
    </row>
    <row r="8" spans="1:20" x14ac:dyDescent="0.2">
      <c r="Q8" s="21"/>
    </row>
    <row r="9" spans="1:20" s="9" customFormat="1" x14ac:dyDescent="0.2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148425.78710644678</v>
      </c>
      <c r="F9" s="37">
        <v>3000</v>
      </c>
      <c r="G9" s="37">
        <f>5482*(1+CALC!$A$2)</f>
        <v>5810.92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>SUM(E9:L9)</f>
        <v>199519.35710644678</v>
      </c>
      <c r="N9" s="32">
        <f>M9/CALC!$A$8*CALC!$A$6</f>
        <v>19782.534871629385</v>
      </c>
      <c r="O9" s="37">
        <f>+M9+N9</f>
        <v>219301.89197807616</v>
      </c>
      <c r="P9" s="48">
        <v>6.67</v>
      </c>
      <c r="Q9" s="49"/>
      <c r="R9" s="25"/>
      <c r="S9" s="25"/>
      <c r="T9" s="25"/>
    </row>
    <row r="10" spans="1:20" x14ac:dyDescent="0.2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 x14ac:dyDescent="0.2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 x14ac:dyDescent="0.2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148425.78710644678</v>
      </c>
      <c r="F12" s="14">
        <f t="shared" si="0"/>
        <v>3000</v>
      </c>
      <c r="G12" s="14">
        <f t="shared" si="0"/>
        <v>5810.92</v>
      </c>
      <c r="H12" s="14">
        <f t="shared" si="0"/>
        <v>6360</v>
      </c>
      <c r="I12" s="14">
        <f>+I9</f>
        <v>35367.65</v>
      </c>
      <c r="J12" s="14">
        <f t="shared" si="0"/>
        <v>0</v>
      </c>
      <c r="K12" s="14">
        <f t="shared" si="0"/>
        <v>555</v>
      </c>
      <c r="L12" s="14"/>
      <c r="M12" s="14">
        <f t="shared" si="0"/>
        <v>199519.35710644678</v>
      </c>
      <c r="N12" s="14">
        <f>M12/CALC!$A$8*CALC!$A$6</f>
        <v>19782.534871629385</v>
      </c>
      <c r="O12" s="14">
        <f>+M12+N12</f>
        <v>219301.89197807616</v>
      </c>
      <c r="P12" s="33"/>
      <c r="Q12" s="135">
        <f>(+O12/D12)*(1+CALC!$A$3)</f>
        <v>3.6550315329679361</v>
      </c>
    </row>
    <row r="13" spans="1:20" x14ac:dyDescent="0.2">
      <c r="Q13" s="21"/>
    </row>
    <row r="14" spans="1:20" ht="12" thickBot="1" x14ac:dyDescent="0.25">
      <c r="Q14" s="21"/>
    </row>
    <row r="15" spans="1:20" ht="12" thickBot="1" x14ac:dyDescent="0.25">
      <c r="B15" s="101" t="s">
        <v>14</v>
      </c>
      <c r="C15" s="102"/>
      <c r="D15" s="103">
        <f>+D16</f>
        <v>60000</v>
      </c>
      <c r="E15" s="358">
        <f>+E16</f>
        <v>148425.78710644678</v>
      </c>
      <c r="F15" s="358">
        <f>+F16</f>
        <v>3000</v>
      </c>
      <c r="G15" s="358">
        <f>+G16</f>
        <v>5810.92</v>
      </c>
      <c r="H15" s="358">
        <f t="shared" ref="H15:O15" si="1">+H16</f>
        <v>6360</v>
      </c>
      <c r="I15" s="358">
        <f t="shared" si="1"/>
        <v>35367.65</v>
      </c>
      <c r="J15" s="358">
        <f t="shared" si="1"/>
        <v>0</v>
      </c>
      <c r="K15" s="358">
        <f t="shared" si="1"/>
        <v>555</v>
      </c>
      <c r="L15" s="104">
        <f t="shared" si="1"/>
        <v>0</v>
      </c>
      <c r="M15" s="104">
        <f t="shared" si="1"/>
        <v>199519.35710644678</v>
      </c>
      <c r="N15" s="104">
        <f t="shared" si="1"/>
        <v>19782.534871629385</v>
      </c>
      <c r="O15" s="104">
        <f t="shared" si="1"/>
        <v>219301.89197807616</v>
      </c>
    </row>
    <row r="16" spans="1:20" s="18" customFormat="1" ht="12" thickBot="1" x14ac:dyDescent="0.25">
      <c r="A16" s="42" t="s">
        <v>197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148425.78710644678</v>
      </c>
      <c r="F16" s="359">
        <f t="shared" si="2"/>
        <v>3000</v>
      </c>
      <c r="G16" s="359">
        <f t="shared" si="2"/>
        <v>5810.92</v>
      </c>
      <c r="H16" s="359">
        <f t="shared" si="2"/>
        <v>6360</v>
      </c>
      <c r="I16" s="359">
        <f t="shared" si="2"/>
        <v>35367.65</v>
      </c>
      <c r="J16" s="359">
        <f t="shared" si="2"/>
        <v>0</v>
      </c>
      <c r="K16" s="359">
        <f t="shared" ref="K16:O16" si="3">+K12</f>
        <v>555</v>
      </c>
      <c r="L16" s="100">
        <f t="shared" si="3"/>
        <v>0</v>
      </c>
      <c r="M16" s="100">
        <f t="shared" si="3"/>
        <v>199519.35710644678</v>
      </c>
      <c r="N16" s="100">
        <f t="shared" si="3"/>
        <v>19782.534871629385</v>
      </c>
      <c r="O16" s="100">
        <f t="shared" si="3"/>
        <v>219301.89197807616</v>
      </c>
      <c r="P16" s="43"/>
      <c r="Q16" s="43"/>
    </row>
    <row r="18" spans="4:15" x14ac:dyDescent="0.2">
      <c r="D18" s="17">
        <f>+D12</f>
        <v>60000</v>
      </c>
      <c r="E18" s="17">
        <f t="shared" ref="E18:O18" si="4">+E12</f>
        <v>148425.78710644678</v>
      </c>
      <c r="F18" s="17">
        <f t="shared" si="4"/>
        <v>3000</v>
      </c>
      <c r="G18" s="17">
        <f t="shared" si="4"/>
        <v>5810.92</v>
      </c>
      <c r="H18" s="17">
        <f t="shared" si="4"/>
        <v>6360</v>
      </c>
      <c r="I18" s="17">
        <f t="shared" si="4"/>
        <v>35367.65</v>
      </c>
      <c r="J18" s="17">
        <f t="shared" si="4"/>
        <v>0</v>
      </c>
      <c r="K18" s="17">
        <f t="shared" si="4"/>
        <v>555</v>
      </c>
      <c r="L18" s="17">
        <f t="shared" si="4"/>
        <v>0</v>
      </c>
      <c r="M18" s="17">
        <f t="shared" si="4"/>
        <v>199519.35710644678</v>
      </c>
      <c r="N18" s="17">
        <f t="shared" si="4"/>
        <v>19782.534871629385</v>
      </c>
      <c r="O18" s="17">
        <f t="shared" si="4"/>
        <v>219301.89197807616</v>
      </c>
    </row>
    <row r="23" spans="4:15" x14ac:dyDescent="0.2">
      <c r="F23" s="58"/>
      <c r="G23" s="58"/>
    </row>
    <row r="26" spans="4:15" x14ac:dyDescent="0.2">
      <c r="F26" s="15"/>
      <c r="G26" s="15"/>
    </row>
    <row r="122" spans="6:6" x14ac:dyDescent="0.2">
      <c r="F122" s="2">
        <f>SUM(F113:F121)</f>
        <v>0</v>
      </c>
    </row>
  </sheetData>
  <customSheetViews>
    <customSheetView guid="{6DF61089-79B2-41AA-A0E5-3D263EEF5CE4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5" sqref="L15"/>
    </sheetView>
  </sheetViews>
  <sheetFormatPr defaultColWidth="9.140625" defaultRowHeight="11.25" x14ac:dyDescent="0.2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 x14ac:dyDescent="0.2">
      <c r="A1" s="18" t="s">
        <v>1499</v>
      </c>
      <c r="D1" s="17" t="s">
        <v>102</v>
      </c>
    </row>
    <row r="3" spans="1:20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188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181</v>
      </c>
      <c r="K3" s="343" t="s">
        <v>182</v>
      </c>
      <c r="L3" s="344" t="str">
        <f>+income!L3</f>
        <v>INTEREST</v>
      </c>
      <c r="M3" s="345" t="s">
        <v>12</v>
      </c>
      <c r="N3" s="343" t="s">
        <v>189</v>
      </c>
      <c r="O3" s="343" t="s">
        <v>183</v>
      </c>
      <c r="P3" s="346" t="s">
        <v>86</v>
      </c>
      <c r="Q3" s="347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476</v>
      </c>
      <c r="D6" s="542" t="s">
        <v>673</v>
      </c>
      <c r="E6" s="543"/>
      <c r="F6" s="544"/>
      <c r="Q6" s="21"/>
    </row>
    <row r="7" spans="1:20" x14ac:dyDescent="0.2">
      <c r="Q7" s="21"/>
    </row>
    <row r="8" spans="1:20" s="9" customFormat="1" x14ac:dyDescent="0.2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18750</v>
      </c>
      <c r="F8" s="37">
        <v>3000</v>
      </c>
      <c r="G8" s="37">
        <f>5500*(1+CALC!$A$2)</f>
        <v>5830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>SUM(E8:L8)</f>
        <v>69862.649999999994</v>
      </c>
      <c r="N8" s="37">
        <f>M8/CALC!$A$8*CALC!$A$6</f>
        <v>6926.9484920808318</v>
      </c>
      <c r="O8" s="37">
        <f>+M8+N8</f>
        <v>76789.598492080826</v>
      </c>
      <c r="P8" s="48">
        <v>6.3</v>
      </c>
      <c r="Q8" s="49"/>
    </row>
    <row r="9" spans="1:20" s="9" customFormat="1" x14ac:dyDescent="0.2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22488.755622188906</v>
      </c>
      <c r="F9" s="37">
        <v>3000</v>
      </c>
      <c r="G9" s="37">
        <f>5500*(1+CALC!$A$2)</f>
        <v>5830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>SUM(E9:L9)</f>
        <v>73601.405622188904</v>
      </c>
      <c r="N9" s="32">
        <f>M9/CALC!$A$8*CALC!$A$6</f>
        <v>7297.6496839105175</v>
      </c>
      <c r="O9" s="37">
        <f>+M9+N9</f>
        <v>80899.055306099428</v>
      </c>
      <c r="P9" s="48">
        <v>6.67</v>
      </c>
      <c r="Q9" s="49"/>
      <c r="R9" s="25"/>
      <c r="S9" s="25"/>
      <c r="T9" s="25"/>
    </row>
    <row r="10" spans="1:20" s="9" customFormat="1" x14ac:dyDescent="0.2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11244.377811094453</v>
      </c>
      <c r="F10" s="37">
        <v>3000</v>
      </c>
      <c r="G10" s="37">
        <f>5500*(1+CALC!$A$2)</f>
        <v>5830</v>
      </c>
      <c r="H10" s="37">
        <f>6000*(1+CALC!$A$2)</f>
        <v>6360</v>
      </c>
      <c r="I10" s="37">
        <v>35100.339999999997</v>
      </c>
      <c r="J10" s="37"/>
      <c r="K10" s="37">
        <f>500*(1.05+CALC!$A$2)</f>
        <v>555</v>
      </c>
      <c r="L10" s="37"/>
      <c r="M10" s="37">
        <f t="shared" ref="M10" si="0">SUM(E10:L10)</f>
        <v>62089.717811094451</v>
      </c>
      <c r="N10" s="37">
        <f>M10/CALC!$A$8*CALC!$A$6</f>
        <v>6156.254839535648</v>
      </c>
      <c r="O10" s="37">
        <f t="shared" ref="O10" si="1">+M10+N10</f>
        <v>68245.972650630094</v>
      </c>
      <c r="P10" s="48">
        <v>6.67</v>
      </c>
      <c r="Q10" s="49"/>
    </row>
    <row r="11" spans="1:20" s="18" customFormat="1" x14ac:dyDescent="0.2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52483.133433283365</v>
      </c>
      <c r="F11" s="14">
        <f t="shared" si="2"/>
        <v>9000</v>
      </c>
      <c r="G11" s="14">
        <f t="shared" si="2"/>
        <v>17490</v>
      </c>
      <c r="H11" s="14">
        <f t="shared" si="2"/>
        <v>19080</v>
      </c>
      <c r="I11" s="14">
        <f t="shared" si="2"/>
        <v>105835.64</v>
      </c>
      <c r="J11" s="32">
        <f t="shared" si="2"/>
        <v>0</v>
      </c>
      <c r="K11" s="14">
        <f>SUM(K8:K10)</f>
        <v>1665</v>
      </c>
      <c r="L11" s="14">
        <f>SUM(L8:L10)</f>
        <v>0</v>
      </c>
      <c r="M11" s="14">
        <f t="shared" si="2"/>
        <v>205553.77343328335</v>
      </c>
      <c r="N11" s="14">
        <f>M11/CALC!$A$8*CALC!$A$6</f>
        <v>20380.853015526998</v>
      </c>
      <c r="O11" s="14">
        <f>+M11+N11</f>
        <v>225934.62644881033</v>
      </c>
      <c r="P11" s="33"/>
      <c r="Q11" s="135">
        <f>(+O11/D11)*(1+CALC!$A$3)</f>
        <v>10.607259457690626</v>
      </c>
    </row>
    <row r="12" spans="1:20" ht="12" thickBot="1" x14ac:dyDescent="0.25">
      <c r="Q12" s="21"/>
    </row>
    <row r="13" spans="1:20" ht="12" thickBot="1" x14ac:dyDescent="0.25">
      <c r="A13" s="330" t="s">
        <v>10</v>
      </c>
      <c r="B13" s="331" t="s">
        <v>477</v>
      </c>
      <c r="D13" s="542" t="s">
        <v>248</v>
      </c>
      <c r="E13" s="543"/>
      <c r="F13" s="544"/>
      <c r="Q13" s="21"/>
    </row>
    <row r="14" spans="1:20" x14ac:dyDescent="0.2">
      <c r="Q14" s="21"/>
    </row>
    <row r="15" spans="1:20" s="9" customFormat="1" x14ac:dyDescent="0.2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22842.639593908629</v>
      </c>
      <c r="F15" s="37">
        <v>3000</v>
      </c>
      <c r="G15" s="37">
        <f>5500*(1+CALC!$A$2)</f>
        <v>5830</v>
      </c>
      <c r="H15" s="37">
        <f>6000*(1+CALC!$A$2)</f>
        <v>6360</v>
      </c>
      <c r="I15" s="37">
        <v>49444.65</v>
      </c>
      <c r="J15" s="37"/>
      <c r="K15" s="37">
        <f>500*(1.05+CALC!$A$2)</f>
        <v>555</v>
      </c>
      <c r="L15" s="37"/>
      <c r="M15" s="37">
        <f>SUM(E15:L15)</f>
        <v>88032.28959390863</v>
      </c>
      <c r="N15" s="32">
        <f>M15/CALC!$A$8*CALC!$A$6</f>
        <v>8728.4856165196798</v>
      </c>
      <c r="O15" s="37">
        <f>+M15+N15</f>
        <v>96760.775210428314</v>
      </c>
      <c r="P15" s="48">
        <v>7.88</v>
      </c>
      <c r="Q15" s="49"/>
    </row>
    <row r="16" spans="1:20" s="18" customFormat="1" x14ac:dyDescent="0.2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22842.639593908629</v>
      </c>
      <c r="F16" s="14">
        <f t="shared" si="3"/>
        <v>3000</v>
      </c>
      <c r="G16" s="14">
        <f t="shared" si="3"/>
        <v>5830</v>
      </c>
      <c r="H16" s="14">
        <f t="shared" si="3"/>
        <v>6360</v>
      </c>
      <c r="I16" s="14">
        <f t="shared" si="3"/>
        <v>49444.65</v>
      </c>
      <c r="J16" s="14">
        <f t="shared" si="3"/>
        <v>0</v>
      </c>
      <c r="K16" s="14">
        <f t="shared" si="3"/>
        <v>555</v>
      </c>
      <c r="L16" s="14">
        <f t="shared" si="3"/>
        <v>0</v>
      </c>
      <c r="M16" s="14">
        <f t="shared" si="3"/>
        <v>88032.28959390863</v>
      </c>
      <c r="N16" s="14">
        <f>M16/CALC!$A$8*CALC!$A$6</f>
        <v>8728.4856165196798</v>
      </c>
      <c r="O16" s="14">
        <f>+M16+N16</f>
        <v>96760.775210428314</v>
      </c>
      <c r="P16" s="33"/>
      <c r="Q16" s="135">
        <f>(+O16/D16)*(1+CALC!$A$3)</f>
        <v>9.6760775210428314</v>
      </c>
    </row>
    <row r="17" spans="1:18" x14ac:dyDescent="0.2">
      <c r="Q17" s="21"/>
    </row>
    <row r="18" spans="1:18" ht="12" thickBot="1" x14ac:dyDescent="0.25">
      <c r="Q18" s="21"/>
    </row>
    <row r="19" spans="1:18" s="18" customFormat="1" ht="12" thickBot="1" x14ac:dyDescent="0.25">
      <c r="A19" s="42" t="s">
        <v>104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75325.773027191986</v>
      </c>
      <c r="F19" s="76">
        <f t="shared" si="4"/>
        <v>12000</v>
      </c>
      <c r="G19" s="76">
        <f t="shared" si="4"/>
        <v>23320</v>
      </c>
      <c r="H19" s="76">
        <f t="shared" si="4"/>
        <v>25440</v>
      </c>
      <c r="I19" s="76">
        <f t="shared" si="4"/>
        <v>155280.29</v>
      </c>
      <c r="J19" s="76">
        <f t="shared" si="4"/>
        <v>0</v>
      </c>
      <c r="K19" s="76">
        <f t="shared" si="4"/>
        <v>2220</v>
      </c>
      <c r="L19" s="76">
        <f t="shared" si="4"/>
        <v>0</v>
      </c>
      <c r="M19" s="76">
        <f t="shared" si="4"/>
        <v>293586.06302719197</v>
      </c>
      <c r="N19" s="76">
        <f t="shared" si="4"/>
        <v>29109.338632046678</v>
      </c>
      <c r="O19" s="77">
        <f t="shared" si="4"/>
        <v>322695.40165923862</v>
      </c>
      <c r="P19" s="43"/>
      <c r="Q19" s="43"/>
    </row>
    <row r="22" spans="1:18" x14ac:dyDescent="0.2">
      <c r="D22" s="17">
        <f t="shared" ref="D22:O22" si="5">+D11+D16</f>
        <v>31300</v>
      </c>
      <c r="E22" s="17">
        <f t="shared" si="5"/>
        <v>75325.773027191986</v>
      </c>
      <c r="F22" s="17">
        <f t="shared" si="5"/>
        <v>12000</v>
      </c>
      <c r="G22" s="17">
        <f t="shared" si="5"/>
        <v>23320</v>
      </c>
      <c r="H22" s="17">
        <f t="shared" si="5"/>
        <v>25440</v>
      </c>
      <c r="I22" s="17">
        <f t="shared" si="5"/>
        <v>155280.29</v>
      </c>
      <c r="J22" s="17">
        <f t="shared" si="5"/>
        <v>0</v>
      </c>
      <c r="K22" s="17">
        <f t="shared" si="5"/>
        <v>2220</v>
      </c>
      <c r="L22" s="17">
        <f t="shared" si="5"/>
        <v>0</v>
      </c>
      <c r="M22" s="17">
        <f t="shared" si="5"/>
        <v>293586.06302719197</v>
      </c>
      <c r="N22" s="17">
        <f t="shared" si="5"/>
        <v>29109.338632046678</v>
      </c>
      <c r="O22" s="17">
        <f t="shared" si="5"/>
        <v>322695.40165923862</v>
      </c>
      <c r="P22" s="17"/>
      <c r="Q22" s="17"/>
      <c r="R22" s="17"/>
    </row>
    <row r="25" spans="1:18" x14ac:dyDescent="0.2">
      <c r="E25" s="58"/>
    </row>
    <row r="27" spans="1:18" x14ac:dyDescent="0.2">
      <c r="E27" s="15"/>
    </row>
    <row r="127" spans="6:6" x14ac:dyDescent="0.2">
      <c r="F127" s="2">
        <f>SUM(F118:F126)</f>
        <v>0</v>
      </c>
    </row>
  </sheetData>
  <customSheetViews>
    <customSheetView guid="{6DF61089-79B2-41AA-A0E5-3D263EEF5CE4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view="pageBreakPreview" zoomScaleSheetLayoutView="100" workbookViewId="0">
      <pane xSplit="3" ySplit="3" topLeftCell="G79" activePane="bottomRight" state="frozen"/>
      <selection pane="topRight" activeCell="D1" sqref="D1"/>
      <selection pane="bottomLeft" activeCell="A4" sqref="A4"/>
      <selection pane="bottomRight" activeCell="L96" sqref="L96"/>
    </sheetView>
  </sheetViews>
  <sheetFormatPr defaultColWidth="10" defaultRowHeight="11.25" x14ac:dyDescent="0.2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8" width="11.28515625" style="2" bestFit="1" customWidth="1"/>
    <col min="9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 x14ac:dyDescent="0.2">
      <c r="A1" s="18" t="s">
        <v>1499</v>
      </c>
      <c r="E1" s="2" t="s">
        <v>103</v>
      </c>
    </row>
    <row r="3" spans="1:17" s="18" customFormat="1" ht="33.75" x14ac:dyDescent="0.2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190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478</v>
      </c>
      <c r="D5" s="542" t="s">
        <v>673</v>
      </c>
      <c r="E5" s="543"/>
      <c r="F5" s="544"/>
    </row>
    <row r="7" spans="1:17" x14ac:dyDescent="0.2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44977.511244377813</v>
      </c>
      <c r="F7" s="13">
        <v>3000</v>
      </c>
      <c r="G7" s="13">
        <f>5482*(1+CALC!$A$2)</f>
        <v>5810.92</v>
      </c>
      <c r="H7" s="13">
        <f>6000*(1+CALC!$A$2)</f>
        <v>6360</v>
      </c>
      <c r="I7" s="13">
        <v>33305.370000000003</v>
      </c>
      <c r="J7" s="37"/>
      <c r="K7" s="37">
        <f>500*(1.05+CALC!$A$2)</f>
        <v>555</v>
      </c>
      <c r="L7" s="13"/>
      <c r="M7" s="13">
        <f>SUM(E7:L7)</f>
        <v>94008.801244377813</v>
      </c>
      <c r="N7" s="14">
        <f>M7/CALC!$A$8*CALC!$A$6</f>
        <v>9321.0624564351565</v>
      </c>
      <c r="O7" s="13">
        <f>+M7+N7</f>
        <v>103329.86370081297</v>
      </c>
      <c r="P7" s="48">
        <v>6.67</v>
      </c>
      <c r="Q7" s="21"/>
    </row>
    <row r="8" spans="1:17" x14ac:dyDescent="0.2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44977.511244377813</v>
      </c>
      <c r="F9" s="14">
        <f t="shared" si="0"/>
        <v>3000</v>
      </c>
      <c r="G9" s="14">
        <f t="shared" si="0"/>
        <v>5810.92</v>
      </c>
      <c r="H9" s="14">
        <f t="shared" si="0"/>
        <v>6360</v>
      </c>
      <c r="I9" s="14">
        <f t="shared" si="0"/>
        <v>33305.370000000003</v>
      </c>
      <c r="J9" s="32">
        <f t="shared" si="0"/>
        <v>0</v>
      </c>
      <c r="K9" s="14">
        <f t="shared" si="0"/>
        <v>555</v>
      </c>
      <c r="L9" s="14">
        <f>+L7</f>
        <v>0</v>
      </c>
      <c r="M9" s="14">
        <f t="shared" si="0"/>
        <v>94008.801244377813</v>
      </c>
      <c r="N9" s="14">
        <f>+N7</f>
        <v>9321.0624564351565</v>
      </c>
      <c r="O9" s="14">
        <f>+M9+N9</f>
        <v>103329.86370081297</v>
      </c>
      <c r="P9" s="33"/>
      <c r="Q9" s="135">
        <f>(+O9/D9)*(1+CALC!$A$3)</f>
        <v>5.1664931850406486</v>
      </c>
    </row>
    <row r="10" spans="1:17" s="18" customFormat="1" ht="12" thickBot="1" x14ac:dyDescent="0.25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 x14ac:dyDescent="0.25">
      <c r="A11" s="330" t="s">
        <v>10</v>
      </c>
      <c r="B11" s="331" t="s">
        <v>479</v>
      </c>
      <c r="D11" s="542" t="s">
        <v>674</v>
      </c>
      <c r="E11" s="543"/>
      <c r="F11" s="544"/>
    </row>
    <row r="13" spans="1:17" s="9" customFormat="1" x14ac:dyDescent="0.2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42857.142857142862</v>
      </c>
      <c r="F13" s="37">
        <v>3000</v>
      </c>
      <c r="G13" s="37">
        <f>6057.27*(1+CALC!$A$2)</f>
        <v>6420.7062000000005</v>
      </c>
      <c r="H13" s="37">
        <f>6000*(1+CALC!$A$2)</f>
        <v>6360</v>
      </c>
      <c r="I13" s="37">
        <v>47381.03</v>
      </c>
      <c r="J13" s="37"/>
      <c r="K13" s="37">
        <f>800*(1+CALC!$A$2)</f>
        <v>848</v>
      </c>
      <c r="L13" s="37"/>
      <c r="M13" s="37">
        <f>SUM(E13:L13)</f>
        <v>106866.87905714285</v>
      </c>
      <c r="N13" s="37">
        <f>M13/CALC!$A$8*CALC!$A$6</f>
        <v>10595.953155774372</v>
      </c>
      <c r="O13" s="37">
        <f>+M13+N13</f>
        <v>117462.83221291723</v>
      </c>
      <c r="P13" s="48">
        <v>7</v>
      </c>
      <c r="Q13" s="49"/>
    </row>
    <row r="14" spans="1:17" s="9" customFormat="1" x14ac:dyDescent="0.2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32142.857142857141</v>
      </c>
      <c r="F14" s="37">
        <v>3000</v>
      </c>
      <c r="G14" s="37">
        <f>6057.27*(1+CALC!$A$2)</f>
        <v>6420.7062000000005</v>
      </c>
      <c r="H14" s="37">
        <f>6000*(1+CALC!$A$2)</f>
        <v>6360</v>
      </c>
      <c r="I14" s="37">
        <v>47391.03</v>
      </c>
      <c r="J14" s="37"/>
      <c r="K14" s="37">
        <f>800*(1+CALC!$A$2)</f>
        <v>848</v>
      </c>
      <c r="L14" s="37"/>
      <c r="M14" s="37">
        <f>SUM(E14:L14)</f>
        <v>96162.593342857144</v>
      </c>
      <c r="N14" s="37">
        <f>M14/CALC!$A$8*CALC!$A$6</f>
        <v>9534.6130006646836</v>
      </c>
      <c r="O14" s="37">
        <f>+M14+N14</f>
        <v>105697.20634352183</v>
      </c>
      <c r="P14" s="48">
        <v>7</v>
      </c>
      <c r="Q14" s="49"/>
    </row>
    <row r="15" spans="1:17" s="10" customFormat="1" x14ac:dyDescent="0.2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 x14ac:dyDescent="0.2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75000</v>
      </c>
      <c r="F16" s="14">
        <f t="shared" si="1"/>
        <v>6000</v>
      </c>
      <c r="G16" s="14">
        <f t="shared" si="1"/>
        <v>12841.412400000001</v>
      </c>
      <c r="H16" s="14">
        <f t="shared" si="1"/>
        <v>12720</v>
      </c>
      <c r="I16" s="14">
        <f t="shared" si="1"/>
        <v>94772.06</v>
      </c>
      <c r="J16" s="32">
        <f>SUM(J13:J15)</f>
        <v>0</v>
      </c>
      <c r="K16" s="14">
        <f t="shared" si="1"/>
        <v>1696</v>
      </c>
      <c r="L16" s="14">
        <f>+L13+L14</f>
        <v>0</v>
      </c>
      <c r="M16" s="14">
        <f>SUM(M13:M15)</f>
        <v>203029.4724</v>
      </c>
      <c r="N16" s="14">
        <f>+N13</f>
        <v>10595.953155774372</v>
      </c>
      <c r="O16" s="14">
        <f>+M16+N16</f>
        <v>213625.42555577436</v>
      </c>
      <c r="P16" s="33"/>
      <c r="Q16" s="135">
        <f>(+O16/D16)*(1+CALC!$A$3)</f>
        <v>6.1035835873078392</v>
      </c>
    </row>
    <row r="17" spans="1:17" s="18" customFormat="1" ht="12" thickBot="1" x14ac:dyDescent="0.25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 x14ac:dyDescent="0.25">
      <c r="A18" s="330" t="s">
        <v>10</v>
      </c>
      <c r="B18" s="331" t="s">
        <v>480</v>
      </c>
      <c r="D18" s="542" t="s">
        <v>675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112500</v>
      </c>
      <c r="F20" s="37">
        <v>3000</v>
      </c>
      <c r="G20" s="37">
        <f>6057.27*(1+CALC!$A$2)</f>
        <v>6420.7062000000005</v>
      </c>
      <c r="H20" s="37">
        <f>6000*(1+CALC!$A$2)</f>
        <v>6360</v>
      </c>
      <c r="I20" s="37">
        <v>63455.57</v>
      </c>
      <c r="J20" s="37"/>
      <c r="K20" s="37">
        <f>1200*(1+CALC!$A$2)</f>
        <v>1272</v>
      </c>
      <c r="L20" s="37"/>
      <c r="M20" s="37">
        <f>SUM(E20:L20)</f>
        <v>193008.27619999999</v>
      </c>
      <c r="N20" s="32">
        <f>M20/CALC!$A$8*CALC!$A$6</f>
        <v>19136.954979273058</v>
      </c>
      <c r="O20" s="37">
        <f>+M20+N20</f>
        <v>212145.23117927305</v>
      </c>
      <c r="P20" s="48">
        <v>2</v>
      </c>
      <c r="Q20" s="49"/>
    </row>
    <row r="21" spans="1:17" s="9" customFormat="1" x14ac:dyDescent="0.2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75000</v>
      </c>
      <c r="F21" s="37">
        <v>3000</v>
      </c>
      <c r="G21" s="37">
        <f>6057.27*(1+CALC!$A$2)</f>
        <v>6420.7062000000005</v>
      </c>
      <c r="H21" s="37">
        <f>6000*(1+CALC!$A$2)</f>
        <v>6360</v>
      </c>
      <c r="I21" s="37">
        <v>63455.57</v>
      </c>
      <c r="J21" s="37"/>
      <c r="K21" s="37">
        <f>1200*(1+CALC!$A$2)</f>
        <v>1272</v>
      </c>
      <c r="L21" s="37"/>
      <c r="M21" s="37">
        <f>SUM(E21:L21)</f>
        <v>155508.27619999999</v>
      </c>
      <c r="N21" s="32">
        <f>M21/CALC!$A$8*CALC!$A$6</f>
        <v>15418.794152951248</v>
      </c>
      <c r="O21" s="37">
        <f>+M21+N21</f>
        <v>170927.07035295124</v>
      </c>
      <c r="P21" s="48">
        <v>2</v>
      </c>
      <c r="Q21" s="49"/>
    </row>
    <row r="22" spans="1:17" s="9" customFormat="1" x14ac:dyDescent="0.2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 x14ac:dyDescent="0.2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187500</v>
      </c>
      <c r="F23" s="14">
        <f t="shared" si="2"/>
        <v>6000</v>
      </c>
      <c r="G23" s="14">
        <f t="shared" si="2"/>
        <v>12841.412400000001</v>
      </c>
      <c r="H23" s="14">
        <f t="shared" si="2"/>
        <v>12720</v>
      </c>
      <c r="I23" s="14">
        <f t="shared" si="2"/>
        <v>126911.14</v>
      </c>
      <c r="J23" s="32">
        <f t="shared" si="2"/>
        <v>0</v>
      </c>
      <c r="K23" s="14">
        <f t="shared" si="2"/>
        <v>2544</v>
      </c>
      <c r="L23" s="14">
        <f>+L20+L21</f>
        <v>0</v>
      </c>
      <c r="M23" s="14">
        <f>SUM(M20:M22)</f>
        <v>348516.55239999999</v>
      </c>
      <c r="N23" s="14">
        <f>M23/CALC!$A$8*CALC!$A$6</f>
        <v>34555.749132224308</v>
      </c>
      <c r="O23" s="14">
        <f>+M23+N23</f>
        <v>383072.30153222429</v>
      </c>
      <c r="P23" s="50"/>
      <c r="Q23" s="135">
        <f>(+O23/D23)*(1+CALC!$A$3)</f>
        <v>15.322892061288972</v>
      </c>
    </row>
    <row r="24" spans="1:17" s="18" customFormat="1" ht="12" thickBot="1" x14ac:dyDescent="0.25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 x14ac:dyDescent="0.25">
      <c r="A25" s="330" t="s">
        <v>10</v>
      </c>
      <c r="B25" s="331" t="s">
        <v>481</v>
      </c>
      <c r="D25" s="542" t="s">
        <v>676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102272.72727272726</v>
      </c>
      <c r="F27" s="37">
        <v>3000</v>
      </c>
      <c r="G27" s="37">
        <f>6057.27*(1+CALC!$A$2)</f>
        <v>6420.7062000000005</v>
      </c>
      <c r="H27" s="37">
        <f>6000*(1+CALC!$A$2)</f>
        <v>6360</v>
      </c>
      <c r="I27" s="37">
        <v>83244.2</v>
      </c>
      <c r="J27" s="37"/>
      <c r="K27" s="37">
        <f>1680*(1+CALC!$A$2)</f>
        <v>1780.8000000000002</v>
      </c>
      <c r="L27" s="37"/>
      <c r="M27" s="37">
        <f>SUM(E27:L27)</f>
        <v>203078.43347272725</v>
      </c>
      <c r="N27" s="32">
        <f>M27/CALC!$A$8*CALC!$A$6</f>
        <v>20135.42069357583</v>
      </c>
      <c r="O27" s="37">
        <f>+M27+N27</f>
        <v>223213.85416630309</v>
      </c>
      <c r="P27" s="399">
        <v>2.2000000000000002</v>
      </c>
      <c r="Q27" s="49"/>
    </row>
    <row r="28" spans="1:17" s="9" customFormat="1" x14ac:dyDescent="0.2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 x14ac:dyDescent="0.2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102272.72727272726</v>
      </c>
      <c r="F29" s="32">
        <f t="shared" si="3"/>
        <v>3000</v>
      </c>
      <c r="G29" s="32">
        <f t="shared" si="3"/>
        <v>6420.7062000000005</v>
      </c>
      <c r="H29" s="32">
        <f t="shared" si="3"/>
        <v>6360</v>
      </c>
      <c r="I29" s="32">
        <f t="shared" si="3"/>
        <v>83244.2</v>
      </c>
      <c r="J29" s="32">
        <f t="shared" si="3"/>
        <v>0</v>
      </c>
      <c r="K29" s="32">
        <f t="shared" si="3"/>
        <v>1780.8000000000002</v>
      </c>
      <c r="L29" s="32">
        <f>+L27</f>
        <v>0</v>
      </c>
      <c r="M29" s="32">
        <f t="shared" si="3"/>
        <v>203078.43347272725</v>
      </c>
      <c r="N29" s="32">
        <f>M29/CALC!$A$8*CALC!$A$6</f>
        <v>20135.42069357583</v>
      </c>
      <c r="O29" s="32">
        <f>+M29+N29</f>
        <v>223213.85416630309</v>
      </c>
      <c r="P29" s="50"/>
      <c r="Q29" s="135">
        <f>(+O29/D29)*(1+CALC!$A$3)</f>
        <v>14.880923611086873</v>
      </c>
    </row>
    <row r="30" spans="1:17" s="18" customFormat="1" ht="12" thickBot="1" x14ac:dyDescent="0.25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 x14ac:dyDescent="0.25">
      <c r="A31" s="330" t="s">
        <v>10</v>
      </c>
      <c r="B31" s="331" t="s">
        <v>144</v>
      </c>
      <c r="D31" s="542" t="s">
        <v>17</v>
      </c>
      <c r="E31" s="543"/>
      <c r="F31" s="544"/>
      <c r="Q31" s="21"/>
    </row>
    <row r="32" spans="1:17" x14ac:dyDescent="0.2">
      <c r="Q32" s="21"/>
    </row>
    <row r="33" spans="1:17" x14ac:dyDescent="0.2">
      <c r="A33" s="12" t="s">
        <v>27</v>
      </c>
      <c r="B33" s="12" t="s">
        <v>31</v>
      </c>
      <c r="C33" s="19">
        <v>78</v>
      </c>
      <c r="D33" s="8">
        <v>600</v>
      </c>
      <c r="E33" s="30">
        <f>+D33/P33*(CALC!$A$4)</f>
        <v>34615.384615384617</v>
      </c>
      <c r="F33" s="13">
        <v>3000</v>
      </c>
      <c r="G33" s="13">
        <f>2800*(1+CALC!$A$2)</f>
        <v>2968</v>
      </c>
      <c r="H33" s="13">
        <f>8330*(1+CALC!$A$2)</f>
        <v>8829.8000000000011</v>
      </c>
      <c r="I33" s="13"/>
      <c r="J33" s="37"/>
      <c r="K33" s="37">
        <f>200*(1+CALC!$A$2)</f>
        <v>212</v>
      </c>
      <c r="L33" s="13"/>
      <c r="M33" s="13">
        <f t="shared" ref="M33:M39" si="4">SUM(E33:L33)</f>
        <v>49625.18461538462</v>
      </c>
      <c r="N33" s="14">
        <f>M33/CALC!$A$8*CALC!$A$6</f>
        <v>4920.3844649576185</v>
      </c>
      <c r="O33" s="13">
        <f t="shared" ref="O33:O39" si="5">+M33+N33</f>
        <v>54545.56908034224</v>
      </c>
      <c r="P33" s="31">
        <v>0.26</v>
      </c>
      <c r="Q33" s="21"/>
    </row>
    <row r="34" spans="1:17" x14ac:dyDescent="0.2">
      <c r="A34" s="12" t="s">
        <v>124</v>
      </c>
      <c r="B34" s="12" t="s">
        <v>31</v>
      </c>
      <c r="C34" s="19">
        <v>82</v>
      </c>
      <c r="D34" s="8">
        <v>100</v>
      </c>
      <c r="E34" s="30">
        <f>+D34/P34*(CALC!$A$4)</f>
        <v>5000.0000000000009</v>
      </c>
      <c r="F34" s="13">
        <v>3000</v>
      </c>
      <c r="G34" s="13">
        <f>756*(1+CALC!$A$2)</f>
        <v>801.36</v>
      </c>
      <c r="H34" s="13">
        <f>13416*(1+CALC!$A$2)</f>
        <v>14220.960000000001</v>
      </c>
      <c r="I34" s="13"/>
      <c r="J34" s="13"/>
      <c r="K34" s="37">
        <f>200*(1+CALC!$A$2)</f>
        <v>212</v>
      </c>
      <c r="L34" s="13"/>
      <c r="M34" s="13">
        <f>SUM(E34:L34)</f>
        <v>23234.32</v>
      </c>
      <c r="N34" s="14">
        <f>M34/CALC!$A$8*CALC!$A$6</f>
        <v>2303.7050253393413</v>
      </c>
      <c r="O34" s="13">
        <f>+M34+N34</f>
        <v>25538.025025339342</v>
      </c>
      <c r="P34" s="31">
        <v>0.3</v>
      </c>
      <c r="Q34" s="21"/>
    </row>
    <row r="35" spans="1:17" x14ac:dyDescent="0.2">
      <c r="A35" s="12" t="s">
        <v>28</v>
      </c>
      <c r="B35" s="12" t="s">
        <v>31</v>
      </c>
      <c r="C35" s="19">
        <v>83</v>
      </c>
      <c r="D35" s="46">
        <v>600</v>
      </c>
      <c r="E35" s="30">
        <f>+D35/P35*(CALC!$A$4)</f>
        <v>40909.090909090912</v>
      </c>
      <c r="F35" s="13">
        <v>3000</v>
      </c>
      <c r="G35" s="13">
        <f>1800*(1+CALC!$A$2)</f>
        <v>1908</v>
      </c>
      <c r="H35" s="13">
        <f>6000*(1+CALC!$A$2)</f>
        <v>6360</v>
      </c>
      <c r="I35" s="13"/>
      <c r="J35" s="37"/>
      <c r="K35" s="37">
        <f>200*(1+CALC!$A$2)</f>
        <v>212</v>
      </c>
      <c r="L35" s="13"/>
      <c r="M35" s="13">
        <f t="shared" si="4"/>
        <v>52389.090909090912</v>
      </c>
      <c r="N35" s="14">
        <f>M35/CALC!$A$8*CALC!$A$6</f>
        <v>5194.4284145278334</v>
      </c>
      <c r="O35" s="13">
        <f t="shared" si="5"/>
        <v>57583.519323618748</v>
      </c>
      <c r="P35" s="31">
        <v>0.22</v>
      </c>
      <c r="Q35" s="21"/>
    </row>
    <row r="36" spans="1:17" x14ac:dyDescent="0.2">
      <c r="A36" s="12" t="s">
        <v>24</v>
      </c>
      <c r="B36" s="12" t="s">
        <v>32</v>
      </c>
      <c r="C36" s="19">
        <v>124</v>
      </c>
      <c r="D36" s="46">
        <v>100</v>
      </c>
      <c r="E36" s="30">
        <f>+D36/P36*(CALC!$A$4)</f>
        <v>3846.1538461538462</v>
      </c>
      <c r="F36" s="13">
        <v>3000</v>
      </c>
      <c r="G36" s="13">
        <f>2000*(1+CALC!$A$2)</f>
        <v>2120</v>
      </c>
      <c r="H36" s="13">
        <f>6000*(1+CALC!$A$2)</f>
        <v>6360</v>
      </c>
      <c r="I36" s="13"/>
      <c r="J36" s="37"/>
      <c r="K36" s="37">
        <f>200*(1+CALC!$A$2)</f>
        <v>212</v>
      </c>
      <c r="L36" s="13"/>
      <c r="M36" s="13">
        <f t="shared" si="4"/>
        <v>15538.153846153846</v>
      </c>
      <c r="N36" s="14">
        <f>M36/CALC!$A$8*CALC!$A$6</f>
        <v>1540.6227985101532</v>
      </c>
      <c r="O36" s="13">
        <f t="shared" si="5"/>
        <v>17078.776644663998</v>
      </c>
      <c r="P36" s="31">
        <v>0.39</v>
      </c>
      <c r="Q36" s="21"/>
    </row>
    <row r="37" spans="1:17" x14ac:dyDescent="0.2">
      <c r="A37" s="12" t="s">
        <v>29</v>
      </c>
      <c r="B37" s="12" t="s">
        <v>33</v>
      </c>
      <c r="C37" s="19">
        <v>151</v>
      </c>
      <c r="D37" s="46">
        <v>200</v>
      </c>
      <c r="E37" s="30">
        <f>+D37/P37*(CALC!$A$4)</f>
        <v>10000.000000000002</v>
      </c>
      <c r="F37" s="13">
        <v>3000</v>
      </c>
      <c r="G37" s="13">
        <f>3000*(1+CALC!$A$2)</f>
        <v>3180</v>
      </c>
      <c r="H37" s="13">
        <f>6000*(1+CALC!$A$2)</f>
        <v>6360</v>
      </c>
      <c r="I37" s="13"/>
      <c r="J37" s="37"/>
      <c r="K37" s="37">
        <f>200*(1+CALC!$A$2)</f>
        <v>212</v>
      </c>
      <c r="L37" s="13"/>
      <c r="M37" s="13">
        <f t="shared" si="4"/>
        <v>22752</v>
      </c>
      <c r="N37" s="14">
        <f>M37/CALC!$A$8*CALC!$A$6</f>
        <v>2255.882536545967</v>
      </c>
      <c r="O37" s="13">
        <f t="shared" si="5"/>
        <v>25007.882536545967</v>
      </c>
      <c r="P37" s="31">
        <v>0.3</v>
      </c>
      <c r="Q37" s="21"/>
    </row>
    <row r="38" spans="1:17" x14ac:dyDescent="0.2">
      <c r="A38" s="12" t="s">
        <v>30</v>
      </c>
      <c r="B38" s="12" t="s">
        <v>33</v>
      </c>
      <c r="C38" s="19">
        <v>408</v>
      </c>
      <c r="D38" s="8">
        <v>200</v>
      </c>
      <c r="E38" s="30">
        <f>+D38/P38*(CALC!$A$4)</f>
        <v>10000.000000000002</v>
      </c>
      <c r="F38" s="13">
        <v>3000</v>
      </c>
      <c r="G38" s="13">
        <f>3000*(1+CALC!$A$2)</f>
        <v>3180</v>
      </c>
      <c r="H38" s="13">
        <f>10000*(1+CALC!$A$2)</f>
        <v>10600</v>
      </c>
      <c r="I38" s="13"/>
      <c r="J38" s="37"/>
      <c r="K38" s="37">
        <f>200*(1+CALC!$A$2)</f>
        <v>212</v>
      </c>
      <c r="L38" s="13"/>
      <c r="M38" s="13">
        <f t="shared" si="4"/>
        <v>26992</v>
      </c>
      <c r="N38" s="14">
        <f>M38/CALC!$A$8*CALC!$A$6</f>
        <v>2676.2825873087527</v>
      </c>
      <c r="O38" s="13">
        <f t="shared" si="5"/>
        <v>29668.282587308753</v>
      </c>
      <c r="P38" s="31">
        <v>0.3</v>
      </c>
      <c r="Q38" s="21"/>
    </row>
    <row r="39" spans="1:17" x14ac:dyDescent="0.2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 x14ac:dyDescent="0.2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104370.62937062938</v>
      </c>
      <c r="F40" s="14">
        <f t="shared" si="6"/>
        <v>18000</v>
      </c>
      <c r="G40" s="14">
        <f t="shared" si="6"/>
        <v>14157.36</v>
      </c>
      <c r="H40" s="14">
        <f t="shared" si="6"/>
        <v>52730.76</v>
      </c>
      <c r="I40" s="14">
        <f t="shared" si="6"/>
        <v>0</v>
      </c>
      <c r="J40" s="32">
        <f t="shared" si="6"/>
        <v>0</v>
      </c>
      <c r="K40" s="14">
        <f t="shared" si="6"/>
        <v>1272</v>
      </c>
      <c r="L40" s="14"/>
      <c r="M40" s="14">
        <f t="shared" si="6"/>
        <v>190530.74937062938</v>
      </c>
      <c r="N40" s="14">
        <f>M40/CALC!$A$8*CALC!$A$6</f>
        <v>18891.305827189666</v>
      </c>
      <c r="O40" s="14">
        <f>+M40+N40</f>
        <v>209422.05519781905</v>
      </c>
      <c r="P40" s="33"/>
      <c r="Q40" s="135">
        <f>(+O40/D40)*(1+CALC!$A$3)</f>
        <v>116.34558622101058</v>
      </c>
    </row>
    <row r="41" spans="1:17" ht="12" thickBot="1" x14ac:dyDescent="0.25">
      <c r="Q41" s="21"/>
    </row>
    <row r="42" spans="1:17" ht="12" thickBot="1" x14ac:dyDescent="0.25">
      <c r="A42" s="330" t="s">
        <v>10</v>
      </c>
      <c r="B42" s="331" t="s">
        <v>145</v>
      </c>
      <c r="D42" s="542" t="s">
        <v>15</v>
      </c>
      <c r="E42" s="543"/>
      <c r="F42" s="544"/>
      <c r="Q42" s="21"/>
    </row>
    <row r="43" spans="1:17" x14ac:dyDescent="0.2">
      <c r="Q43" s="21"/>
    </row>
    <row r="44" spans="1:17" x14ac:dyDescent="0.2">
      <c r="A44" s="12" t="s">
        <v>34</v>
      </c>
      <c r="B44" s="12" t="s">
        <v>38</v>
      </c>
      <c r="C44" s="19">
        <v>94</v>
      </c>
      <c r="D44" s="8"/>
      <c r="E44" s="30"/>
      <c r="F44" s="13"/>
      <c r="G44" s="13">
        <f>710*(1+CALC!$A$2)</f>
        <v>752.6</v>
      </c>
      <c r="H44" s="13">
        <f>5000*(1+CALC!$A$2)</f>
        <v>5300</v>
      </c>
      <c r="I44" s="13"/>
      <c r="J44" s="37"/>
      <c r="K44" s="37">
        <f>200*(1+CALC!$A$2)</f>
        <v>212</v>
      </c>
      <c r="L44" s="13"/>
      <c r="M44" s="13">
        <f>SUM(E44:L44)</f>
        <v>6264.6</v>
      </c>
      <c r="N44" s="14">
        <f>M44/CALC!$A$8*CALC!$A$6</f>
        <v>621.1410750020159</v>
      </c>
      <c r="O44" s="13">
        <f t="shared" ref="O44:O49" si="7">+M44+N44</f>
        <v>6885.7410750020163</v>
      </c>
      <c r="P44" s="20"/>
      <c r="Q44" s="21"/>
    </row>
    <row r="45" spans="1:17" x14ac:dyDescent="0.2">
      <c r="A45" s="12" t="s">
        <v>35</v>
      </c>
      <c r="B45" s="12" t="s">
        <v>39</v>
      </c>
      <c r="C45" s="19">
        <v>97</v>
      </c>
      <c r="D45" s="8"/>
      <c r="E45" s="30"/>
      <c r="F45" s="13"/>
      <c r="G45" s="13">
        <f>710*(1+CALC!$A$2)</f>
        <v>752.6</v>
      </c>
      <c r="H45" s="13">
        <f>5000*(1+CALC!$A$2)</f>
        <v>5300</v>
      </c>
      <c r="I45" s="13"/>
      <c r="J45" s="37"/>
      <c r="K45" s="37">
        <f>300*(1+CALC!$A$2)</f>
        <v>318</v>
      </c>
      <c r="L45" s="13"/>
      <c r="M45" s="13">
        <f>SUM(E45:L45)</f>
        <v>6370.6</v>
      </c>
      <c r="N45" s="14">
        <f>M45/CALC!$A$8*CALC!$A$6</f>
        <v>631.65107627108557</v>
      </c>
      <c r="O45" s="13">
        <f t="shared" si="7"/>
        <v>7002.2510762710863</v>
      </c>
      <c r="P45" s="20"/>
      <c r="Q45" s="21"/>
    </row>
    <row r="46" spans="1:17" x14ac:dyDescent="0.2">
      <c r="A46" s="12" t="s">
        <v>36</v>
      </c>
      <c r="B46" s="12" t="s">
        <v>40</v>
      </c>
      <c r="C46" s="19">
        <v>98</v>
      </c>
      <c r="D46" s="8"/>
      <c r="E46" s="30"/>
      <c r="F46" s="13"/>
      <c r="G46" s="13">
        <f>710*(1+CALC!$A$2)</f>
        <v>752.6</v>
      </c>
      <c r="H46" s="13">
        <f>5000*(1+CALC!$A$2)</f>
        <v>5300</v>
      </c>
      <c r="I46" s="13"/>
      <c r="J46" s="37"/>
      <c r="K46" s="37">
        <f>800*(1+CALC!$A$2)</f>
        <v>848</v>
      </c>
      <c r="L46" s="13"/>
      <c r="M46" s="13">
        <f>SUM(E46:L46)</f>
        <v>6900.6</v>
      </c>
      <c r="N46" s="14">
        <f>M46/CALC!$A$8*CALC!$A$6</f>
        <v>684.20108261643372</v>
      </c>
      <c r="O46" s="13">
        <f t="shared" si="7"/>
        <v>7584.8010826164336</v>
      </c>
      <c r="P46" s="20"/>
      <c r="Q46" s="21"/>
    </row>
    <row r="47" spans="1:17" x14ac:dyDescent="0.2">
      <c r="A47" s="12" t="s">
        <v>37</v>
      </c>
      <c r="B47" s="12" t="s">
        <v>16</v>
      </c>
      <c r="C47" s="19">
        <v>405</v>
      </c>
      <c r="D47" s="8"/>
      <c r="E47" s="30"/>
      <c r="F47" s="13"/>
      <c r="G47" s="13">
        <f>1100*(1+CALC!$A$2)</f>
        <v>1166</v>
      </c>
      <c r="H47" s="13">
        <f>5000*(1+CALC!$A$2)</f>
        <v>5300</v>
      </c>
      <c r="I47" s="13">
        <v>0</v>
      </c>
      <c r="J47" s="37"/>
      <c r="K47" s="37">
        <f>250*(1+CALC!$A$2)</f>
        <v>265</v>
      </c>
      <c r="L47" s="13"/>
      <c r="M47" s="13">
        <f>SUM(E47:L47)</f>
        <v>6731</v>
      </c>
      <c r="N47" s="14">
        <f>M47/CALC!$A$8*CALC!$A$6</f>
        <v>667.3850805859222</v>
      </c>
      <c r="O47" s="13">
        <f t="shared" si="7"/>
        <v>7398.385080585922</v>
      </c>
      <c r="P47" s="20"/>
      <c r="Q47" s="21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 x14ac:dyDescent="0.2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3423.8</v>
      </c>
      <c r="H49" s="14">
        <f t="shared" si="8"/>
        <v>21200</v>
      </c>
      <c r="I49" s="14">
        <f t="shared" si="8"/>
        <v>0</v>
      </c>
      <c r="J49" s="32">
        <f t="shared" si="8"/>
        <v>0</v>
      </c>
      <c r="K49" s="14">
        <f t="shared" si="8"/>
        <v>1643</v>
      </c>
      <c r="L49" s="14"/>
      <c r="M49" s="14">
        <f>SUM(M44:M48)</f>
        <v>26266.800000000003</v>
      </c>
      <c r="N49" s="14">
        <f>M49/CALC!$A$8*CALC!$A$6</f>
        <v>2604.3783144754575</v>
      </c>
      <c r="O49" s="14">
        <f t="shared" si="7"/>
        <v>28871.178314475459</v>
      </c>
      <c r="P49" s="41"/>
      <c r="Q49" s="36"/>
    </row>
    <row r="50" spans="1:17" s="18" customFormat="1" x14ac:dyDescent="0.2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 x14ac:dyDescent="0.2">
      <c r="A51" s="52" t="s">
        <v>64</v>
      </c>
      <c r="B51" s="66" t="s">
        <v>14</v>
      </c>
      <c r="C51" s="67"/>
      <c r="D51" s="68">
        <f>+D9+D16+D23+D29+D40+D49</f>
        <v>96800</v>
      </c>
      <c r="E51" s="70">
        <f>+E9+E16+E23+E29+E40+E49</f>
        <v>514120.86788773449</v>
      </c>
      <c r="F51" s="70">
        <f>+F9+F16+F23+F29+F40+F49</f>
        <v>36000</v>
      </c>
      <c r="G51" s="70">
        <f t="shared" ref="G51:O51" si="9">+G9+G16+G23+G29+G40+G49</f>
        <v>55495.611000000004</v>
      </c>
      <c r="H51" s="70">
        <f t="shared" si="9"/>
        <v>112090.76000000001</v>
      </c>
      <c r="I51" s="70">
        <f t="shared" si="9"/>
        <v>338232.77</v>
      </c>
      <c r="J51" s="70">
        <f t="shared" si="9"/>
        <v>0</v>
      </c>
      <c r="K51" s="70">
        <f t="shared" si="9"/>
        <v>9490.7999999999993</v>
      </c>
      <c r="L51" s="70">
        <f t="shared" si="9"/>
        <v>0</v>
      </c>
      <c r="M51" s="70">
        <f t="shared" si="9"/>
        <v>1065430.8088877345</v>
      </c>
      <c r="N51" s="70">
        <f>+N9+N16+N23+N29+N40+N49</f>
        <v>96103.869579674778</v>
      </c>
      <c r="O51" s="70">
        <f t="shared" si="9"/>
        <v>1161534.6784674092</v>
      </c>
      <c r="P51" s="398"/>
      <c r="Q51" s="51"/>
    </row>
    <row r="52" spans="1:17" s="10" customFormat="1" ht="12" thickBot="1" x14ac:dyDescent="0.25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 x14ac:dyDescent="0.25">
      <c r="Q53" s="21"/>
    </row>
    <row r="54" spans="1:17" ht="12" thickBot="1" x14ac:dyDescent="0.25">
      <c r="A54" s="330" t="s">
        <v>10</v>
      </c>
      <c r="B54" s="331" t="s">
        <v>146</v>
      </c>
      <c r="D54" s="542" t="s">
        <v>15</v>
      </c>
      <c r="E54" s="543"/>
      <c r="F54" s="544"/>
      <c r="Q54" s="21"/>
    </row>
    <row r="55" spans="1:17" x14ac:dyDescent="0.2">
      <c r="Q55" s="21"/>
    </row>
    <row r="56" spans="1:17" x14ac:dyDescent="0.2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x14ac:dyDescent="0.2">
      <c r="A57" s="12" t="s">
        <v>288</v>
      </c>
      <c r="B57" s="12" t="s">
        <v>16</v>
      </c>
      <c r="C57" s="19">
        <v>17</v>
      </c>
      <c r="D57" s="8"/>
      <c r="E57" s="30"/>
      <c r="F57" s="13"/>
      <c r="G57" s="13">
        <f>710*(1+CALC!$A$2)</f>
        <v>752.6</v>
      </c>
      <c r="H57" s="13">
        <f>5000*(1+CALC!$A$2)</f>
        <v>5300</v>
      </c>
      <c r="I57" s="13"/>
      <c r="J57" s="37"/>
      <c r="K57" s="37">
        <f>250*(1+CALC!$A$2)</f>
        <v>265</v>
      </c>
      <c r="L57" s="13"/>
      <c r="M57" s="13">
        <f>SUM(E57:L57)</f>
        <v>6317.6</v>
      </c>
      <c r="N57" s="14">
        <f>M57/CALC!$A$8*CALC!$A$6</f>
        <v>626.39607563655079</v>
      </c>
      <c r="O57" s="13">
        <f t="shared" ref="O57:O59" si="10">+M57+N57</f>
        <v>6943.9960756365508</v>
      </c>
      <c r="P57" s="31"/>
      <c r="Q57" s="21"/>
    </row>
    <row r="58" spans="1:17" x14ac:dyDescent="0.2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 x14ac:dyDescent="0.2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752.6</v>
      </c>
      <c r="H59" s="14">
        <f t="shared" si="11"/>
        <v>5300</v>
      </c>
      <c r="I59" s="14">
        <f t="shared" si="11"/>
        <v>0</v>
      </c>
      <c r="J59" s="32">
        <f t="shared" si="11"/>
        <v>0</v>
      </c>
      <c r="K59" s="14">
        <f t="shared" si="11"/>
        <v>265</v>
      </c>
      <c r="L59" s="14"/>
      <c r="M59" s="14">
        <f>SUM(M56:M58)</f>
        <v>6317.6</v>
      </c>
      <c r="N59" s="14">
        <f>M59/CALC!$A$8*CALC!$A$6</f>
        <v>626.39607563655079</v>
      </c>
      <c r="O59" s="14">
        <f t="shared" si="10"/>
        <v>6943.9960756365508</v>
      </c>
      <c r="P59" s="33"/>
      <c r="Q59" s="36"/>
    </row>
    <row r="60" spans="1:17" x14ac:dyDescent="0.2">
      <c r="Q60" s="21"/>
    </row>
    <row r="61" spans="1:17" x14ac:dyDescent="0.2">
      <c r="A61" s="42" t="s">
        <v>287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752.6</v>
      </c>
      <c r="H61" s="69">
        <f t="shared" si="12"/>
        <v>5300</v>
      </c>
      <c r="I61" s="69">
        <f t="shared" si="12"/>
        <v>0</v>
      </c>
      <c r="J61" s="69">
        <f t="shared" si="12"/>
        <v>0</v>
      </c>
      <c r="K61" s="69">
        <f t="shared" si="12"/>
        <v>265</v>
      </c>
      <c r="L61" s="69">
        <f t="shared" si="12"/>
        <v>0</v>
      </c>
      <c r="M61" s="69">
        <f t="shared" si="12"/>
        <v>6317.6</v>
      </c>
      <c r="N61" s="69">
        <f>+N59</f>
        <v>626.39607563655079</v>
      </c>
      <c r="O61" s="69">
        <f>+O59</f>
        <v>6943.9960756365508</v>
      </c>
      <c r="P61" s="24"/>
      <c r="Q61" s="51"/>
    </row>
    <row r="62" spans="1:17" s="9" customFormat="1" ht="12" thickBot="1" x14ac:dyDescent="0.25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 x14ac:dyDescent="0.25">
      <c r="Q63" s="21"/>
    </row>
    <row r="64" spans="1:17" ht="12" thickBot="1" x14ac:dyDescent="0.25">
      <c r="A64" s="330" t="s">
        <v>10</v>
      </c>
      <c r="B64" s="331" t="s">
        <v>147</v>
      </c>
      <c r="D64" s="542" t="s">
        <v>141</v>
      </c>
      <c r="E64" s="543"/>
      <c r="F64" s="544"/>
      <c r="Q64" s="21"/>
    </row>
    <row r="65" spans="1:17" x14ac:dyDescent="0.2">
      <c r="Q65" s="21"/>
    </row>
    <row r="66" spans="1:17" x14ac:dyDescent="0.2">
      <c r="A66" s="12" t="s">
        <v>126</v>
      </c>
      <c r="B66" s="12" t="s">
        <v>134</v>
      </c>
      <c r="C66" s="19">
        <v>411</v>
      </c>
      <c r="D66" s="8">
        <v>30000</v>
      </c>
      <c r="E66" s="30">
        <f>+D66/P66*(CALC!$A$4)</f>
        <v>99557.52212389381</v>
      </c>
      <c r="F66" s="13">
        <v>3000</v>
      </c>
      <c r="G66" s="13">
        <f>21800*(1+CALC!$A$2)</f>
        <v>23108</v>
      </c>
      <c r="H66" s="13">
        <f>50000*(1+CALC!$A$2)</f>
        <v>53000</v>
      </c>
      <c r="I66" s="13">
        <f t="shared" ref="I66:I71" si="13">900362.94/8</f>
        <v>112545.36749999999</v>
      </c>
      <c r="J66" s="37"/>
      <c r="K66" s="37">
        <f>11550*(1+CALC!$A$2)</f>
        <v>12243</v>
      </c>
      <c r="L66" s="13"/>
      <c r="M66" s="13">
        <f t="shared" ref="M66:M71" si="14">SUM(E66:L66)</f>
        <v>303453.88962389377</v>
      </c>
      <c r="N66" s="13">
        <f>M66/CALC!$A$8*CALC!$A$6</f>
        <v>30087.743066521158</v>
      </c>
      <c r="O66" s="13">
        <f t="shared" ref="O66:O71" si="15">+M66+N66</f>
        <v>333541.6326904149</v>
      </c>
      <c r="P66" s="31">
        <v>4.5199999999999996</v>
      </c>
      <c r="Q66" s="97"/>
    </row>
    <row r="67" spans="1:17" x14ac:dyDescent="0.2">
      <c r="A67" s="12" t="s">
        <v>126</v>
      </c>
      <c r="B67" s="12" t="s">
        <v>135</v>
      </c>
      <c r="C67" s="19">
        <v>412</v>
      </c>
      <c r="D67" s="8">
        <v>40000</v>
      </c>
      <c r="E67" s="30">
        <f>+D67/P67*(CALC!$A$4)</f>
        <v>132743.36283185842</v>
      </c>
      <c r="F67" s="13">
        <v>3000</v>
      </c>
      <c r="G67" s="13">
        <f>21800*(1+CALC!$A$2)</f>
        <v>23108</v>
      </c>
      <c r="H67" s="13">
        <f>50000*(1+CALC!$A$2)</f>
        <v>53000</v>
      </c>
      <c r="I67" s="13">
        <f t="shared" si="13"/>
        <v>112545.36749999999</v>
      </c>
      <c r="J67" s="37"/>
      <c r="K67" s="37">
        <f>11550*(1+CALC!$A$2)</f>
        <v>12243</v>
      </c>
      <c r="L67" s="13"/>
      <c r="M67" s="13">
        <f t="shared" si="14"/>
        <v>336639.73033185839</v>
      </c>
      <c r="N67" s="13">
        <f>M67/CALC!$A$8*CALC!$A$6</f>
        <v>33378.150877425411</v>
      </c>
      <c r="O67" s="13">
        <f t="shared" si="15"/>
        <v>370017.88120928378</v>
      </c>
      <c r="P67" s="31">
        <v>4.5199999999999996</v>
      </c>
      <c r="Q67" s="97"/>
    </row>
    <row r="68" spans="1:17" x14ac:dyDescent="0.2">
      <c r="A68" s="12" t="s">
        <v>126</v>
      </c>
      <c r="B68" s="12" t="s">
        <v>136</v>
      </c>
      <c r="C68" s="19">
        <v>413</v>
      </c>
      <c r="D68" s="8">
        <v>80000</v>
      </c>
      <c r="E68" s="30">
        <f>+D68/P68*(CALC!$A$4)</f>
        <v>265486.72566371685</v>
      </c>
      <c r="F68" s="13">
        <v>3000</v>
      </c>
      <c r="G68" s="13">
        <f>21800*(1+CALC!$A$2)</f>
        <v>23108</v>
      </c>
      <c r="H68" s="13">
        <f>50000*(1+CALC!$A$2)</f>
        <v>53000</v>
      </c>
      <c r="I68" s="13">
        <f t="shared" si="13"/>
        <v>112545.36749999999</v>
      </c>
      <c r="J68" s="37"/>
      <c r="K68" s="37">
        <f>11550*(1+CALC!$A$2)</f>
        <v>12243</v>
      </c>
      <c r="L68" s="13"/>
      <c r="M68" s="13">
        <f t="shared" si="14"/>
        <v>469383.09316371684</v>
      </c>
      <c r="N68" s="13">
        <f>M68/CALC!$A$8*CALC!$A$6</f>
        <v>46539.782121042437</v>
      </c>
      <c r="O68" s="13">
        <f t="shared" si="15"/>
        <v>515922.87528475927</v>
      </c>
      <c r="P68" s="31">
        <v>4.5199999999999996</v>
      </c>
      <c r="Q68" s="97"/>
    </row>
    <row r="69" spans="1:17" x14ac:dyDescent="0.2">
      <c r="A69" s="12" t="s">
        <v>126</v>
      </c>
      <c r="B69" s="12" t="s">
        <v>137</v>
      </c>
      <c r="C69" s="19">
        <v>414</v>
      </c>
      <c r="D69" s="8">
        <v>60000</v>
      </c>
      <c r="E69" s="30">
        <f>+D69/P69*(CALC!$A$4)</f>
        <v>199115.04424778762</v>
      </c>
      <c r="F69" s="13">
        <v>3000</v>
      </c>
      <c r="G69" s="13">
        <f>21800*(1+CALC!$A$2)</f>
        <v>23108</v>
      </c>
      <c r="H69" s="13">
        <f>50000*(1+CALC!$A$2)</f>
        <v>53000</v>
      </c>
      <c r="I69" s="13">
        <f t="shared" si="13"/>
        <v>112545.36749999999</v>
      </c>
      <c r="J69" s="37"/>
      <c r="K69" s="37">
        <f>11550*(1+CALC!$A$2)</f>
        <v>12243</v>
      </c>
      <c r="L69" s="13"/>
      <c r="M69" s="13">
        <f t="shared" si="14"/>
        <v>403011.41174778761</v>
      </c>
      <c r="N69" s="13">
        <f>M69/CALC!$A$8*CALC!$A$6</f>
        <v>39958.966499233924</v>
      </c>
      <c r="O69" s="13">
        <f t="shared" si="15"/>
        <v>442970.37824702152</v>
      </c>
      <c r="P69" s="31">
        <v>4.5199999999999996</v>
      </c>
      <c r="Q69" s="97"/>
    </row>
    <row r="70" spans="1:17" x14ac:dyDescent="0.2">
      <c r="A70" s="12" t="s">
        <v>126</v>
      </c>
      <c r="B70" s="12" t="s">
        <v>138</v>
      </c>
      <c r="C70" s="19">
        <v>415</v>
      </c>
      <c r="D70" s="8">
        <v>40000</v>
      </c>
      <c r="E70" s="30">
        <f>+D70/P70*(CALC!$A$4)</f>
        <v>132743.36283185842</v>
      </c>
      <c r="F70" s="13">
        <v>3000</v>
      </c>
      <c r="G70" s="13">
        <f>21800*(1+CALC!$A$2)</f>
        <v>23108</v>
      </c>
      <c r="H70" s="13">
        <f>50000*(1+CALC!$A$2)</f>
        <v>53000</v>
      </c>
      <c r="I70" s="13">
        <f t="shared" si="13"/>
        <v>112545.36749999999</v>
      </c>
      <c r="J70" s="37"/>
      <c r="K70" s="37">
        <f>11550*(1+CALC!$A$2)</f>
        <v>12243</v>
      </c>
      <c r="L70" s="13"/>
      <c r="M70" s="13">
        <f t="shared" si="14"/>
        <v>336639.73033185839</v>
      </c>
      <c r="N70" s="13">
        <f>M70/CALC!$A$8*CALC!$A$6</f>
        <v>33378.150877425411</v>
      </c>
      <c r="O70" s="13">
        <f t="shared" si="15"/>
        <v>370017.88120928378</v>
      </c>
      <c r="P70" s="31">
        <v>4.5199999999999996</v>
      </c>
      <c r="Q70" s="97"/>
    </row>
    <row r="71" spans="1:17" x14ac:dyDescent="0.2">
      <c r="A71" s="12" t="s">
        <v>126</v>
      </c>
      <c r="B71" s="12" t="s">
        <v>139</v>
      </c>
      <c r="C71" s="19">
        <v>416</v>
      </c>
      <c r="D71" s="8">
        <v>20000</v>
      </c>
      <c r="E71" s="30">
        <f>+D71/P71*(CALC!$A$4)</f>
        <v>66371.681415929212</v>
      </c>
      <c r="F71" s="13">
        <v>3000</v>
      </c>
      <c r="G71" s="13">
        <f>21800*(1+CALC!$A$2)</f>
        <v>23108</v>
      </c>
      <c r="H71" s="13">
        <f>50000*(1+CALC!$A$2)</f>
        <v>53000</v>
      </c>
      <c r="I71" s="13">
        <f t="shared" si="13"/>
        <v>112545.36749999999</v>
      </c>
      <c r="J71" s="37"/>
      <c r="K71" s="37">
        <f>11550*(1+CALC!$A$2)</f>
        <v>12243</v>
      </c>
      <c r="L71" s="13"/>
      <c r="M71" s="13">
        <f t="shared" si="14"/>
        <v>270268.04891592922</v>
      </c>
      <c r="N71" s="13">
        <f>M71/CALC!$A$8*CALC!$A$6</f>
        <v>26797.335255616905</v>
      </c>
      <c r="O71" s="13">
        <f t="shared" si="15"/>
        <v>297065.38417154615</v>
      </c>
      <c r="P71" s="31">
        <v>4.5199999999999996</v>
      </c>
      <c r="Q71" s="97"/>
    </row>
    <row r="72" spans="1:17" x14ac:dyDescent="0.2">
      <c r="A72" s="12" t="s">
        <v>142</v>
      </c>
      <c r="B72" s="12" t="s">
        <v>198</v>
      </c>
      <c r="C72" s="19">
        <v>418</v>
      </c>
      <c r="D72" s="8">
        <v>40000</v>
      </c>
      <c r="E72" s="30">
        <f>+D72/P72*(CALC!$A$4)</f>
        <v>168067.22689075631</v>
      </c>
      <c r="F72" s="13">
        <v>3000</v>
      </c>
      <c r="G72" s="13">
        <f>21800*(1+CALC!$A$2)</f>
        <v>23108</v>
      </c>
      <c r="H72" s="13">
        <f>50000*(1+CALC!$A$2)</f>
        <v>53000</v>
      </c>
      <c r="I72" s="13">
        <f>878480/8</f>
        <v>109810</v>
      </c>
      <c r="J72" s="37"/>
      <c r="K72" s="37">
        <f>11550*(1+CALC!$A$2)</f>
        <v>12243</v>
      </c>
      <c r="L72" s="13"/>
      <c r="M72" s="13">
        <f>SUM(E72:L72)</f>
        <v>369228.22689075628</v>
      </c>
      <c r="N72" s="13">
        <f>M72/CALC!$A$8*CALC!$A$6</f>
        <v>36609.331445265874</v>
      </c>
      <c r="O72" s="13">
        <f>+M72+N72</f>
        <v>405837.55833602214</v>
      </c>
      <c r="P72" s="31">
        <v>3.57</v>
      </c>
      <c r="Q72" s="97"/>
    </row>
    <row r="73" spans="1:17" x14ac:dyDescent="0.2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 x14ac:dyDescent="0.2">
      <c r="A74" s="35"/>
      <c r="B74" s="4" t="s">
        <v>14</v>
      </c>
      <c r="C74" s="26"/>
      <c r="D74" s="16">
        <f>SUM(D66:D73)</f>
        <v>310000</v>
      </c>
      <c r="E74" s="14">
        <f t="shared" ref="E74:M74" si="16">SUM(E66:E73)</f>
        <v>1064084.9260058007</v>
      </c>
      <c r="F74" s="14">
        <f t="shared" si="16"/>
        <v>21000</v>
      </c>
      <c r="G74" s="14">
        <f t="shared" si="16"/>
        <v>161756</v>
      </c>
      <c r="H74" s="14">
        <f t="shared" si="16"/>
        <v>371000</v>
      </c>
      <c r="I74" s="14">
        <f t="shared" si="16"/>
        <v>785082.20499999984</v>
      </c>
      <c r="J74" s="32">
        <f t="shared" si="16"/>
        <v>0</v>
      </c>
      <c r="K74" s="14">
        <f t="shared" si="16"/>
        <v>85701</v>
      </c>
      <c r="L74" s="14"/>
      <c r="M74" s="14">
        <f t="shared" si="16"/>
        <v>2488624.1310058008</v>
      </c>
      <c r="N74" s="14">
        <f>M74/CALC!$A$8*CALC!$A$6</f>
        <v>246749.46014253117</v>
      </c>
      <c r="O74" s="14">
        <f>+M74+N74</f>
        <v>2735373.5911483318</v>
      </c>
      <c r="P74" s="33"/>
      <c r="Q74" s="135">
        <f>(+O74/D74)*(1+CALC!$A$3)</f>
        <v>8.8237857778978448</v>
      </c>
    </row>
    <row r="75" spans="1:17" ht="12" thickBot="1" x14ac:dyDescent="0.25">
      <c r="Q75" s="21"/>
    </row>
    <row r="76" spans="1:17" ht="12" thickBot="1" x14ac:dyDescent="0.25">
      <c r="A76" s="330" t="s">
        <v>10</v>
      </c>
      <c r="B76" s="331" t="s">
        <v>682</v>
      </c>
      <c r="D76" s="542" t="s">
        <v>672</v>
      </c>
      <c r="E76" s="543"/>
      <c r="F76" s="544"/>
      <c r="Q76" s="21"/>
    </row>
    <row r="77" spans="1:17" x14ac:dyDescent="0.2">
      <c r="Q77" s="21"/>
    </row>
    <row r="78" spans="1:17" s="9" customFormat="1" x14ac:dyDescent="0.2">
      <c r="A78" s="320" t="str">
        <f>+'1-10'!C3</f>
        <v>ISUZU KB200i 2x4 CANOPY  [133]</v>
      </c>
      <c r="B78" s="61" t="str">
        <f>+'1-10'!R3</f>
        <v>CMB 436 L</v>
      </c>
      <c r="C78" s="54">
        <v>602</v>
      </c>
      <c r="D78" s="46">
        <v>27000</v>
      </c>
      <c r="E78" s="62">
        <f>+D78/P78*(CALC!$A$4)</f>
        <v>60719.640179910042</v>
      </c>
      <c r="F78" s="37">
        <v>3000</v>
      </c>
      <c r="G78" s="13">
        <f>5482*(1+CALC!$A$2)</f>
        <v>5810.92</v>
      </c>
      <c r="H78" s="13">
        <f>6000*(1+CALC!$A$2)</f>
        <v>6360</v>
      </c>
      <c r="I78" s="37">
        <v>35904.04</v>
      </c>
      <c r="J78" s="37"/>
      <c r="K78" s="37">
        <f>500*(1+CALC!$A$2)</f>
        <v>530</v>
      </c>
      <c r="L78" s="37"/>
      <c r="M78" s="37">
        <f>SUM(E78:L78)</f>
        <v>112324.60017991005</v>
      </c>
      <c r="N78" s="37">
        <f>M78/CALC!$A$8*CALC!$A$6</f>
        <v>11137.091419232027</v>
      </c>
      <c r="O78" s="37">
        <f>+M78+N78</f>
        <v>123461.69159914207</v>
      </c>
      <c r="P78" s="48">
        <v>6.67</v>
      </c>
      <c r="Q78" s="49"/>
    </row>
    <row r="79" spans="1:17" s="9" customFormat="1" x14ac:dyDescent="0.2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60719.640179910042</v>
      </c>
      <c r="F79" s="37">
        <v>3000</v>
      </c>
      <c r="G79" s="13">
        <f>5482*(1+CALC!$A$2)</f>
        <v>5810.92</v>
      </c>
      <c r="H79" s="13">
        <f>6000*(1+CALC!$A$2)</f>
        <v>6360</v>
      </c>
      <c r="I79" s="37">
        <v>36900.35</v>
      </c>
      <c r="J79" s="37"/>
      <c r="K79" s="37">
        <f>500*(1+CALC!$A$2)</f>
        <v>530</v>
      </c>
      <c r="L79" s="37"/>
      <c r="M79" s="37">
        <f t="shared" ref="M79:M83" si="17">SUM(E79:L79)</f>
        <v>113320.91017991005</v>
      </c>
      <c r="N79" s="37">
        <f>M79/CALC!$A$8*CALC!$A$6</f>
        <v>11235.876507575298</v>
      </c>
      <c r="O79" s="37">
        <f t="shared" ref="O79:O83" si="18">+M79+N79</f>
        <v>124556.78668748535</v>
      </c>
      <c r="P79" s="48">
        <v>6.67</v>
      </c>
      <c r="Q79" s="49"/>
    </row>
    <row r="80" spans="1:17" s="9" customFormat="1" x14ac:dyDescent="0.2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68815.59220389805</v>
      </c>
      <c r="F80" s="37">
        <v>3000</v>
      </c>
      <c r="G80" s="13">
        <f>5482*(1+CALC!$A$2)</f>
        <v>5810.92</v>
      </c>
      <c r="H80" s="13">
        <f>6000*(1+CALC!$A$2)</f>
        <v>6360</v>
      </c>
      <c r="I80" s="37">
        <v>36900.35</v>
      </c>
      <c r="J80" s="37"/>
      <c r="K80" s="37">
        <f>500*(1+CALC!$A$2)</f>
        <v>530</v>
      </c>
      <c r="L80" s="37"/>
      <c r="M80" s="37">
        <f t="shared" si="17"/>
        <v>121416.86220389805</v>
      </c>
      <c r="N80" s="37">
        <f>M80/CALC!$A$8*CALC!$A$6</f>
        <v>12038.597885371908</v>
      </c>
      <c r="O80" s="37">
        <f t="shared" si="18"/>
        <v>133455.46008926997</v>
      </c>
      <c r="P80" s="48">
        <v>6.67</v>
      </c>
      <c r="Q80" s="49"/>
    </row>
    <row r="81" spans="1:17" s="9" customFormat="1" x14ac:dyDescent="0.2">
      <c r="A81" s="320" t="s">
        <v>639</v>
      </c>
      <c r="B81" s="61" t="s">
        <v>568</v>
      </c>
      <c r="C81" s="54">
        <v>605</v>
      </c>
      <c r="D81" s="46">
        <v>39000</v>
      </c>
      <c r="E81" s="62">
        <f>+D81/P81*(CALC!$A$4)</f>
        <v>87706.146926536734</v>
      </c>
      <c r="F81" s="37">
        <v>3000</v>
      </c>
      <c r="G81" s="13">
        <f>5482*(1+CALC!$A$2)</f>
        <v>5810.92</v>
      </c>
      <c r="H81" s="13">
        <f>6000*(1+CALC!$A$2)</f>
        <v>6360</v>
      </c>
      <c r="I81" s="37">
        <v>35105.379999999997</v>
      </c>
      <c r="J81" s="37"/>
      <c r="K81" s="37">
        <f>500*(1+CALC!$A$2)</f>
        <v>530</v>
      </c>
      <c r="L81" s="37"/>
      <c r="M81" s="37">
        <f>SUM(E81:L81)</f>
        <v>138512.44692653674</v>
      </c>
      <c r="N81" s="37">
        <f>M81/CALC!$A$8*CALC!$A$6</f>
        <v>13733.641443206063</v>
      </c>
      <c r="O81" s="37">
        <f>+M81+N81</f>
        <v>152246.08836974279</v>
      </c>
      <c r="P81" s="48">
        <v>6.67</v>
      </c>
      <c r="Q81" s="49"/>
    </row>
    <row r="82" spans="1:17" s="9" customFormat="1" x14ac:dyDescent="0.2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60719.640179910042</v>
      </c>
      <c r="F82" s="37">
        <v>3000</v>
      </c>
      <c r="G82" s="13">
        <f>5482*(1+CALC!$A$2)</f>
        <v>5810.92</v>
      </c>
      <c r="H82" s="13">
        <f>6000*(1+CALC!$A$2)</f>
        <v>6360</v>
      </c>
      <c r="I82" s="37">
        <v>36900.35</v>
      </c>
      <c r="J82" s="37"/>
      <c r="K82" s="37">
        <f>500*(1+CALC!$A$2)</f>
        <v>530</v>
      </c>
      <c r="L82" s="37"/>
      <c r="M82" s="37">
        <f t="shared" si="17"/>
        <v>113320.91017991005</v>
      </c>
      <c r="N82" s="37">
        <f>M82/CALC!$A$8*CALC!$A$6</f>
        <v>11235.876507575298</v>
      </c>
      <c r="O82" s="37">
        <f t="shared" si="18"/>
        <v>124556.78668748535</v>
      </c>
      <c r="P82" s="48">
        <v>6.67</v>
      </c>
      <c r="Q82" s="49"/>
    </row>
    <row r="83" spans="1:17" s="9" customFormat="1" x14ac:dyDescent="0.2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60719.640179910042</v>
      </c>
      <c r="F83" s="37">
        <v>3000</v>
      </c>
      <c r="G83" s="13">
        <f>5482*(1+CALC!$A$2)</f>
        <v>5810.92</v>
      </c>
      <c r="H83" s="13">
        <f>6000*(1+CALC!$A$2)</f>
        <v>6360</v>
      </c>
      <c r="I83" s="37">
        <v>36900.35</v>
      </c>
      <c r="J83" s="37"/>
      <c r="K83" s="37">
        <f>500*(1+CALC!$A$2)</f>
        <v>530</v>
      </c>
      <c r="L83" s="37"/>
      <c r="M83" s="37">
        <f t="shared" si="17"/>
        <v>113320.91017991005</v>
      </c>
      <c r="N83" s="37">
        <f>M83/CALC!$A$8*CALC!$A$6</f>
        <v>11235.876507575298</v>
      </c>
      <c r="O83" s="37">
        <f t="shared" si="18"/>
        <v>124556.78668748535</v>
      </c>
      <c r="P83" s="48">
        <v>6.67</v>
      </c>
      <c r="Q83" s="49"/>
    </row>
    <row r="84" spans="1:17" x14ac:dyDescent="0.2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 x14ac:dyDescent="0.2">
      <c r="A85" s="35"/>
      <c r="B85" s="4" t="s">
        <v>14</v>
      </c>
      <c r="C85" s="26"/>
      <c r="D85" s="16">
        <f t="shared" ref="D85:K85" si="19">SUM(D78:D84)</f>
        <v>177600</v>
      </c>
      <c r="E85" s="14">
        <f t="shared" si="19"/>
        <v>399400.29985007498</v>
      </c>
      <c r="F85" s="14">
        <f t="shared" si="19"/>
        <v>18000</v>
      </c>
      <c r="G85" s="32">
        <f t="shared" si="19"/>
        <v>34865.519999999997</v>
      </c>
      <c r="H85" s="14">
        <f t="shared" si="19"/>
        <v>38160</v>
      </c>
      <c r="I85" s="14">
        <f t="shared" si="19"/>
        <v>218610.82</v>
      </c>
      <c r="J85" s="32">
        <f t="shared" si="19"/>
        <v>0</v>
      </c>
      <c r="K85" s="14">
        <f t="shared" si="19"/>
        <v>3180</v>
      </c>
      <c r="L85" s="14">
        <f>+L78+L79+L80+L81+L82+L83</f>
        <v>0</v>
      </c>
      <c r="M85" s="14">
        <f>SUM(M78:M84)</f>
        <v>712216.63985007489</v>
      </c>
      <c r="N85" s="14">
        <f>M85/CALC!$A$8*CALC!$A$6</f>
        <v>70616.960270535885</v>
      </c>
      <c r="O85" s="14">
        <f>+M85+N85</f>
        <v>782833.60012061079</v>
      </c>
      <c r="P85" s="33"/>
      <c r="Q85" s="135">
        <f>(+O85/D85)*(1+CALC!$A$3)</f>
        <v>4.4078468475259616</v>
      </c>
    </row>
    <row r="86" spans="1:17" ht="12" thickBot="1" x14ac:dyDescent="0.25">
      <c r="Q86" s="21"/>
    </row>
    <row r="87" spans="1:17" ht="12" thickBot="1" x14ac:dyDescent="0.25">
      <c r="A87" s="330" t="s">
        <v>10</v>
      </c>
      <c r="B87" s="331" t="s">
        <v>683</v>
      </c>
      <c r="D87" s="542" t="s">
        <v>630</v>
      </c>
      <c r="E87" s="543"/>
      <c r="F87" s="544"/>
      <c r="Q87" s="21"/>
    </row>
    <row r="88" spans="1:17" x14ac:dyDescent="0.2">
      <c r="Q88" s="21"/>
    </row>
    <row r="89" spans="1:17" s="9" customFormat="1" x14ac:dyDescent="0.2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315000</v>
      </c>
      <c r="F89" s="37">
        <v>3000</v>
      </c>
      <c r="G89" s="37">
        <f>6057*(1+CALC!$A$2)</f>
        <v>6420.42</v>
      </c>
      <c r="H89" s="37">
        <f>30000*(1+CALC!$A$2)</f>
        <v>31800</v>
      </c>
      <c r="I89" s="37">
        <v>105138.65</v>
      </c>
      <c r="J89" s="37"/>
      <c r="K89" s="37">
        <f>1800*(1+CALC!$A$2)</f>
        <v>1908</v>
      </c>
      <c r="L89" s="37"/>
      <c r="M89" s="37">
        <f>SUM(E89:L89)</f>
        <v>463267.06999999995</v>
      </c>
      <c r="N89" s="32">
        <f>M89/CALC!$A$8*CALC!$A$6</f>
        <v>45933.372581303534</v>
      </c>
      <c r="O89" s="37">
        <f>+M89+N89</f>
        <v>509200.44258130348</v>
      </c>
      <c r="P89" s="48">
        <v>2</v>
      </c>
      <c r="Q89" s="49"/>
    </row>
    <row r="90" spans="1:17" s="9" customFormat="1" x14ac:dyDescent="0.2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315000</v>
      </c>
      <c r="F90" s="37">
        <v>3000</v>
      </c>
      <c r="G90" s="37">
        <f>6057*(1+CALC!$A$2)</f>
        <v>6420.42</v>
      </c>
      <c r="H90" s="37">
        <f>30000*(1+CALC!$A$2)</f>
        <v>31800</v>
      </c>
      <c r="I90" s="37">
        <v>95085.69</v>
      </c>
      <c r="J90" s="37"/>
      <c r="K90" s="37">
        <f>1800*(1+CALC!$A$2)</f>
        <v>1908</v>
      </c>
      <c r="L90" s="37"/>
      <c r="M90" s="37">
        <f>SUM(E90:L90)</f>
        <v>453214.11</v>
      </c>
      <c r="N90" s="37">
        <f>M90/CALC!$A$8*CALC!$A$6</f>
        <v>44936.611993021404</v>
      </c>
      <c r="O90" s="37">
        <f>+M90+N90</f>
        <v>498150.72199302138</v>
      </c>
      <c r="P90" s="48">
        <v>2</v>
      </c>
      <c r="Q90" s="49"/>
    </row>
    <row r="91" spans="1:17" s="9" customFormat="1" x14ac:dyDescent="0.2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315000</v>
      </c>
      <c r="F91" s="37">
        <v>3000</v>
      </c>
      <c r="G91" s="37">
        <f>6057*(1+CALC!$A$2)</f>
        <v>6420.42</v>
      </c>
      <c r="H91" s="37">
        <f>30000*(1+CALC!$A$2)</f>
        <v>31800</v>
      </c>
      <c r="I91" s="37">
        <v>95085.69</v>
      </c>
      <c r="J91" s="37"/>
      <c r="K91" s="37">
        <f>1800*(1+CALC!$A$2)</f>
        <v>1908</v>
      </c>
      <c r="L91" s="37"/>
      <c r="M91" s="37">
        <f>SUM(E91:L91)</f>
        <v>453214.11</v>
      </c>
      <c r="N91" s="37">
        <f>M91/CALC!$A$8*CALC!$A$6</f>
        <v>44936.611993021404</v>
      </c>
      <c r="O91" s="37">
        <f>+M91+N91</f>
        <v>498150.72199302138</v>
      </c>
      <c r="P91" s="48">
        <v>2</v>
      </c>
      <c r="Q91" s="49"/>
    </row>
    <row r="92" spans="1:17" s="18" customFormat="1" x14ac:dyDescent="0.2">
      <c r="A92" s="35"/>
      <c r="B92" s="4" t="s">
        <v>14</v>
      </c>
      <c r="C92" s="26"/>
      <c r="D92" s="16">
        <f>SUM(D89:D91)</f>
        <v>126000</v>
      </c>
      <c r="E92" s="14">
        <f>SUM(E89:E91)</f>
        <v>945000</v>
      </c>
      <c r="F92" s="14">
        <f t="shared" ref="F92:O92" si="20">SUM(F89:F91)</f>
        <v>9000</v>
      </c>
      <c r="G92" s="14">
        <f t="shared" si="20"/>
        <v>19261.260000000002</v>
      </c>
      <c r="H92" s="14">
        <f t="shared" si="20"/>
        <v>95400</v>
      </c>
      <c r="I92" s="14">
        <f t="shared" si="20"/>
        <v>295310.03000000003</v>
      </c>
      <c r="J92" s="14">
        <f t="shared" si="20"/>
        <v>0</v>
      </c>
      <c r="K92" s="14">
        <f t="shared" si="20"/>
        <v>5724</v>
      </c>
      <c r="L92" s="14">
        <f>+L89+L90+L91</f>
        <v>0</v>
      </c>
      <c r="M92" s="14">
        <f t="shared" si="20"/>
        <v>1369695.29</v>
      </c>
      <c r="N92" s="14">
        <f t="shared" si="20"/>
        <v>135806.59656734637</v>
      </c>
      <c r="O92" s="14">
        <f t="shared" si="20"/>
        <v>1505501.8865673463</v>
      </c>
      <c r="P92" s="33"/>
      <c r="Q92" s="135">
        <f>(+O92/D92)*(1+CALC!$A$3)</f>
        <v>11.948427671169416</v>
      </c>
    </row>
    <row r="93" spans="1:17" ht="12" thickBot="1" x14ac:dyDescent="0.25">
      <c r="Q93" s="21"/>
    </row>
    <row r="94" spans="1:17" ht="12" thickBot="1" x14ac:dyDescent="0.25">
      <c r="A94" s="330" t="s">
        <v>10</v>
      </c>
      <c r="B94" s="331" t="s">
        <v>684</v>
      </c>
      <c r="D94" s="542" t="s">
        <v>677</v>
      </c>
      <c r="E94" s="543"/>
      <c r="F94" s="544"/>
      <c r="Q94" s="21"/>
    </row>
    <row r="95" spans="1:17" x14ac:dyDescent="0.2">
      <c r="Q95" s="21"/>
    </row>
    <row r="96" spans="1:17" s="9" customFormat="1" x14ac:dyDescent="0.2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375000</v>
      </c>
      <c r="F96" s="37">
        <v>3000</v>
      </c>
      <c r="G96" s="37">
        <f>9718*(1+CALC!$A$2)</f>
        <v>10301.08</v>
      </c>
      <c r="H96" s="37">
        <f>60000*(1+CALC!$A$2)</f>
        <v>63600</v>
      </c>
      <c r="I96" s="37">
        <v>305574.2</v>
      </c>
      <c r="J96" s="37"/>
      <c r="K96" s="37">
        <f>26250*(1+CALC!$A$2)</f>
        <v>27825</v>
      </c>
      <c r="L96" s="37"/>
      <c r="M96" s="37">
        <f>SUM(E96:L96)</f>
        <v>785300.28</v>
      </c>
      <c r="N96" s="32">
        <f>M96/CALC!$A$8*CALC!$A$6</f>
        <v>77863.273013214581</v>
      </c>
      <c r="O96" s="37">
        <f>+M96+N96</f>
        <v>863163.55301321461</v>
      </c>
      <c r="P96" s="48">
        <v>1.2</v>
      </c>
      <c r="Q96" s="49"/>
    </row>
    <row r="97" spans="1:17" s="9" customFormat="1" x14ac:dyDescent="0.2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 x14ac:dyDescent="0.2">
      <c r="A98" s="35"/>
      <c r="B98" s="4" t="s">
        <v>14</v>
      </c>
      <c r="C98" s="26"/>
      <c r="D98" s="16">
        <f t="shared" ref="D98:K98" si="21">SUM(D96:D97)</f>
        <v>30000</v>
      </c>
      <c r="E98" s="14">
        <f t="shared" si="21"/>
        <v>375000</v>
      </c>
      <c r="F98" s="14">
        <f t="shared" si="21"/>
        <v>3000</v>
      </c>
      <c r="G98" s="14">
        <f t="shared" si="21"/>
        <v>10301.08</v>
      </c>
      <c r="H98" s="14">
        <f t="shared" si="21"/>
        <v>63600</v>
      </c>
      <c r="I98" s="14">
        <f t="shared" si="21"/>
        <v>305574.2</v>
      </c>
      <c r="J98" s="32">
        <f t="shared" si="21"/>
        <v>0</v>
      </c>
      <c r="K98" s="14">
        <f t="shared" si="21"/>
        <v>27825</v>
      </c>
      <c r="L98" s="14">
        <f>+L96</f>
        <v>0</v>
      </c>
      <c r="M98" s="14">
        <f>SUM(M96:M97)</f>
        <v>785300.28</v>
      </c>
      <c r="N98" s="14">
        <f>M98/CALC!$A$8*CALC!$A$6</f>
        <v>77863.273013214581</v>
      </c>
      <c r="O98" s="14">
        <f>+M98+N98</f>
        <v>863163.55301321461</v>
      </c>
      <c r="P98" s="33"/>
      <c r="Q98" s="135">
        <f>(+O98/D98)*(1+CALC!$A$3)</f>
        <v>28.772118433773819</v>
      </c>
    </row>
    <row r="99" spans="1:17" x14ac:dyDescent="0.2">
      <c r="Q99" s="21"/>
    </row>
    <row r="100" spans="1:17" s="18" customFormat="1" x14ac:dyDescent="0.2">
      <c r="A100" s="42" t="s">
        <v>65</v>
      </c>
      <c r="B100" s="66" t="s">
        <v>14</v>
      </c>
      <c r="C100" s="67"/>
      <c r="D100" s="68">
        <f t="shared" ref="D100:O100" si="22">+D74+D85+D92+D98</f>
        <v>643600</v>
      </c>
      <c r="E100" s="70">
        <f t="shared" si="22"/>
        <v>2783485.2258558758</v>
      </c>
      <c r="F100" s="70">
        <f t="shared" si="22"/>
        <v>51000</v>
      </c>
      <c r="G100" s="70">
        <f t="shared" si="22"/>
        <v>226183.86</v>
      </c>
      <c r="H100" s="70">
        <f t="shared" si="22"/>
        <v>568160</v>
      </c>
      <c r="I100" s="70">
        <f t="shared" si="22"/>
        <v>1604577.2549999999</v>
      </c>
      <c r="J100" s="70">
        <f t="shared" si="22"/>
        <v>0</v>
      </c>
      <c r="K100" s="70">
        <f t="shared" si="22"/>
        <v>122430</v>
      </c>
      <c r="L100" s="70">
        <f t="shared" si="22"/>
        <v>0</v>
      </c>
      <c r="M100" s="70">
        <f t="shared" si="22"/>
        <v>5355836.340855876</v>
      </c>
      <c r="N100" s="70">
        <f t="shared" si="22"/>
        <v>531036.28999362793</v>
      </c>
      <c r="O100" s="70">
        <f t="shared" si="22"/>
        <v>5886872.630849503</v>
      </c>
      <c r="P100" s="69"/>
      <c r="Q100" s="51"/>
    </row>
    <row r="101" spans="1:17" x14ac:dyDescent="0.2">
      <c r="P101" s="7"/>
      <c r="Q101" s="49"/>
    </row>
    <row r="102" spans="1:17" s="18" customFormat="1" x14ac:dyDescent="0.2">
      <c r="A102" s="18" t="s">
        <v>41</v>
      </c>
      <c r="B102" s="78" t="s">
        <v>14</v>
      </c>
      <c r="C102" s="79"/>
      <c r="D102" s="80">
        <f t="shared" ref="D102:O102" si="23">+D51+D61+D100</f>
        <v>740400</v>
      </c>
      <c r="E102" s="81">
        <f t="shared" si="23"/>
        <v>3297606.0937436102</v>
      </c>
      <c r="F102" s="81">
        <f t="shared" si="23"/>
        <v>87000</v>
      </c>
      <c r="G102" s="81">
        <f t="shared" si="23"/>
        <v>282432.071</v>
      </c>
      <c r="H102" s="81">
        <f t="shared" si="23"/>
        <v>685550.76</v>
      </c>
      <c r="I102" s="81">
        <f t="shared" si="23"/>
        <v>1942810.0249999999</v>
      </c>
      <c r="J102" s="81">
        <f t="shared" si="23"/>
        <v>0</v>
      </c>
      <c r="K102" s="81">
        <f t="shared" si="23"/>
        <v>132185.79999999999</v>
      </c>
      <c r="L102" s="81">
        <f t="shared" si="23"/>
        <v>0</v>
      </c>
      <c r="M102" s="81">
        <f t="shared" si="23"/>
        <v>6427584.7497436106</v>
      </c>
      <c r="N102" s="81">
        <f t="shared" si="23"/>
        <v>627766.55564893922</v>
      </c>
      <c r="O102" s="81">
        <f t="shared" si="23"/>
        <v>7055351.3053925484</v>
      </c>
      <c r="P102" s="24"/>
      <c r="Q102" s="51"/>
    </row>
    <row r="103" spans="1:17" x14ac:dyDescent="0.2">
      <c r="P103" s="7"/>
      <c r="Q103" s="49"/>
    </row>
    <row r="104" spans="1:17" x14ac:dyDescent="0.2">
      <c r="Q104" s="21"/>
    </row>
    <row r="105" spans="1:17" x14ac:dyDescent="0.2">
      <c r="D105" s="17">
        <f>+D9+D16+D23+D29+D40+D49+D59+D74+D85+D92+D98</f>
        <v>740400</v>
      </c>
      <c r="E105" s="17">
        <f t="shared" ref="E105:O105" si="24">+E9+E16+E23+E29+E40+E49+E59+E74+E85+E92+E98</f>
        <v>3297606.0937436102</v>
      </c>
      <c r="F105" s="17">
        <f t="shared" si="24"/>
        <v>87000</v>
      </c>
      <c r="G105" s="17">
        <f t="shared" si="24"/>
        <v>282432.071</v>
      </c>
      <c r="H105" s="17">
        <f t="shared" si="24"/>
        <v>685550.76</v>
      </c>
      <c r="I105" s="17">
        <f t="shared" si="24"/>
        <v>1942810.0249999999</v>
      </c>
      <c r="J105" s="17">
        <f t="shared" si="24"/>
        <v>0</v>
      </c>
      <c r="K105" s="17">
        <f t="shared" si="24"/>
        <v>132185.79999999999</v>
      </c>
      <c r="L105" s="17">
        <f t="shared" si="24"/>
        <v>0</v>
      </c>
      <c r="M105" s="17">
        <f t="shared" si="24"/>
        <v>6427584.7497436106</v>
      </c>
      <c r="N105" s="17">
        <f t="shared" si="24"/>
        <v>627766.55564893933</v>
      </c>
      <c r="O105" s="17">
        <f t="shared" si="24"/>
        <v>7055351.3053925484</v>
      </c>
      <c r="P105" s="17"/>
      <c r="Q105" s="17"/>
    </row>
    <row r="106" spans="1:17" x14ac:dyDescent="0.2">
      <c r="I106" s="64">
        <f>-I74</f>
        <v>-785082.20499999984</v>
      </c>
      <c r="Q106" s="21"/>
    </row>
    <row r="107" spans="1:17" x14ac:dyDescent="0.2">
      <c r="Q107" s="21"/>
    </row>
    <row r="108" spans="1:17" x14ac:dyDescent="0.2">
      <c r="Q108" s="21"/>
    </row>
    <row r="109" spans="1:17" x14ac:dyDescent="0.2">
      <c r="Q109" s="21"/>
    </row>
    <row r="110" spans="1:17" x14ac:dyDescent="0.2">
      <c r="Q110" s="21"/>
    </row>
    <row r="111" spans="1:17" x14ac:dyDescent="0.2">
      <c r="Q111" s="21"/>
    </row>
    <row r="112" spans="1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17:17" x14ac:dyDescent="0.2">
      <c r="Q129" s="21"/>
    </row>
    <row r="130" spans="17:17" x14ac:dyDescent="0.2">
      <c r="Q130" s="21"/>
    </row>
    <row r="131" spans="17:17" x14ac:dyDescent="0.2">
      <c r="Q131" s="21"/>
    </row>
    <row r="132" spans="17:17" x14ac:dyDescent="0.2">
      <c r="Q132" s="21"/>
    </row>
    <row r="133" spans="17:17" x14ac:dyDescent="0.2">
      <c r="Q133" s="21"/>
    </row>
    <row r="134" spans="17:17" x14ac:dyDescent="0.2">
      <c r="Q134" s="21"/>
    </row>
    <row r="135" spans="17:17" x14ac:dyDescent="0.2">
      <c r="Q135" s="21"/>
    </row>
    <row r="136" spans="17:17" x14ac:dyDescent="0.2">
      <c r="Q136" s="21"/>
    </row>
    <row r="137" spans="17:17" x14ac:dyDescent="0.2">
      <c r="Q137" s="21"/>
    </row>
    <row r="138" spans="17:17" x14ac:dyDescent="0.2">
      <c r="Q138" s="21"/>
    </row>
    <row r="139" spans="17:17" x14ac:dyDescent="0.2">
      <c r="Q139" s="21"/>
    </row>
    <row r="140" spans="17:17" x14ac:dyDescent="0.2">
      <c r="Q140" s="21"/>
    </row>
    <row r="141" spans="17:17" x14ac:dyDescent="0.2">
      <c r="Q141" s="21"/>
    </row>
    <row r="142" spans="17:17" x14ac:dyDescent="0.2">
      <c r="Q142" s="21"/>
    </row>
    <row r="143" spans="17:17" x14ac:dyDescent="0.2">
      <c r="Q143" s="21"/>
    </row>
    <row r="144" spans="17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  <row r="400" spans="17:17" x14ac:dyDescent="0.2">
      <c r="Q400" s="21"/>
    </row>
    <row r="401" spans="17:17" x14ac:dyDescent="0.2">
      <c r="Q401" s="21"/>
    </row>
    <row r="402" spans="17:17" x14ac:dyDescent="0.2">
      <c r="Q402" s="21"/>
    </row>
    <row r="403" spans="17:17" x14ac:dyDescent="0.2">
      <c r="Q403" s="21"/>
    </row>
    <row r="404" spans="17:17" x14ac:dyDescent="0.2">
      <c r="Q404" s="21"/>
    </row>
    <row r="405" spans="17:17" x14ac:dyDescent="0.2">
      <c r="Q405" s="21"/>
    </row>
    <row r="406" spans="17:17" x14ac:dyDescent="0.2">
      <c r="Q406" s="21"/>
    </row>
    <row r="407" spans="17:17" x14ac:dyDescent="0.2">
      <c r="Q407" s="21"/>
    </row>
    <row r="408" spans="17:17" x14ac:dyDescent="0.2">
      <c r="Q408" s="21"/>
    </row>
    <row r="409" spans="17:17" x14ac:dyDescent="0.2">
      <c r="Q409" s="21"/>
    </row>
    <row r="410" spans="17:17" x14ac:dyDescent="0.2">
      <c r="Q410" s="21"/>
    </row>
    <row r="411" spans="17:17" x14ac:dyDescent="0.2">
      <c r="Q411" s="21"/>
    </row>
    <row r="412" spans="17:17" x14ac:dyDescent="0.2">
      <c r="Q412" s="21"/>
    </row>
    <row r="413" spans="17:17" x14ac:dyDescent="0.2">
      <c r="Q413" s="21"/>
    </row>
    <row r="414" spans="17:17" x14ac:dyDescent="0.2">
      <c r="Q414" s="21"/>
    </row>
    <row r="415" spans="17:17" x14ac:dyDescent="0.2">
      <c r="Q415" s="21"/>
    </row>
    <row r="416" spans="17:17" x14ac:dyDescent="0.2">
      <c r="Q416" s="21"/>
    </row>
    <row r="417" spans="17:17" x14ac:dyDescent="0.2">
      <c r="Q417" s="21"/>
    </row>
    <row r="418" spans="17:17" x14ac:dyDescent="0.2">
      <c r="Q418" s="21"/>
    </row>
    <row r="419" spans="17:17" x14ac:dyDescent="0.2">
      <c r="Q419" s="21"/>
    </row>
    <row r="420" spans="17:17" x14ac:dyDescent="0.2">
      <c r="Q420" s="21"/>
    </row>
    <row r="421" spans="17:17" x14ac:dyDescent="0.2">
      <c r="Q421" s="21"/>
    </row>
    <row r="422" spans="17:17" x14ac:dyDescent="0.2">
      <c r="Q422" s="21"/>
    </row>
    <row r="423" spans="17:17" x14ac:dyDescent="0.2">
      <c r="Q423" s="21"/>
    </row>
    <row r="424" spans="17:17" x14ac:dyDescent="0.2">
      <c r="Q424" s="21"/>
    </row>
    <row r="425" spans="17:17" x14ac:dyDescent="0.2">
      <c r="Q425" s="21"/>
    </row>
    <row r="426" spans="17:17" x14ac:dyDescent="0.2">
      <c r="Q426" s="21"/>
    </row>
    <row r="427" spans="17:17" x14ac:dyDescent="0.2">
      <c r="Q427" s="21"/>
    </row>
    <row r="428" spans="17:17" x14ac:dyDescent="0.2">
      <c r="Q428" s="21"/>
    </row>
    <row r="429" spans="17:17" x14ac:dyDescent="0.2">
      <c r="Q429" s="21"/>
    </row>
    <row r="430" spans="17:17" x14ac:dyDescent="0.2">
      <c r="Q430" s="21"/>
    </row>
    <row r="431" spans="17:17" x14ac:dyDescent="0.2">
      <c r="Q431" s="21"/>
    </row>
    <row r="432" spans="17:17" x14ac:dyDescent="0.2">
      <c r="Q432" s="21"/>
    </row>
    <row r="433" spans="17:17" x14ac:dyDescent="0.2">
      <c r="Q433" s="21"/>
    </row>
    <row r="434" spans="17:17" x14ac:dyDescent="0.2">
      <c r="Q434" s="21"/>
    </row>
    <row r="435" spans="17:17" x14ac:dyDescent="0.2">
      <c r="Q435" s="21"/>
    </row>
    <row r="436" spans="17:17" x14ac:dyDescent="0.2">
      <c r="Q436" s="21"/>
    </row>
    <row r="437" spans="17:17" x14ac:dyDescent="0.2">
      <c r="Q437" s="21"/>
    </row>
    <row r="438" spans="17:17" x14ac:dyDescent="0.2">
      <c r="Q438" s="21"/>
    </row>
    <row r="439" spans="17:17" x14ac:dyDescent="0.2">
      <c r="Q439" s="21"/>
    </row>
    <row r="440" spans="17:17" x14ac:dyDescent="0.2">
      <c r="Q440" s="21"/>
    </row>
    <row r="441" spans="17:17" x14ac:dyDescent="0.2">
      <c r="Q441" s="21"/>
    </row>
    <row r="442" spans="17:17" x14ac:dyDescent="0.2">
      <c r="Q442" s="21"/>
    </row>
    <row r="443" spans="17:17" x14ac:dyDescent="0.2">
      <c r="Q443" s="21"/>
    </row>
    <row r="444" spans="17:17" x14ac:dyDescent="0.2">
      <c r="Q444" s="21"/>
    </row>
    <row r="445" spans="17:17" x14ac:dyDescent="0.2">
      <c r="Q445" s="21"/>
    </row>
    <row r="446" spans="17:17" x14ac:dyDescent="0.2">
      <c r="Q446" s="21"/>
    </row>
    <row r="447" spans="17:17" x14ac:dyDescent="0.2">
      <c r="Q447" s="21"/>
    </row>
    <row r="448" spans="17:17" x14ac:dyDescent="0.2">
      <c r="Q448" s="21"/>
    </row>
    <row r="449" spans="17:17" x14ac:dyDescent="0.2">
      <c r="Q449" s="21"/>
    </row>
    <row r="450" spans="17:17" x14ac:dyDescent="0.2">
      <c r="Q450" s="21"/>
    </row>
    <row r="451" spans="17:17" x14ac:dyDescent="0.2">
      <c r="Q451" s="21"/>
    </row>
    <row r="452" spans="17:17" x14ac:dyDescent="0.2">
      <c r="Q452" s="21"/>
    </row>
  </sheetData>
  <customSheetViews>
    <customSheetView guid="{6DF61089-79B2-41AA-A0E5-3D263EEF5CE4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69"/>
  <sheetViews>
    <sheetView view="pageBreakPreview" zoomScaleSheetLayoutView="100" workbookViewId="0">
      <pane xSplit="3" ySplit="3" topLeftCell="F73" activePane="bottomRight" state="frozen"/>
      <selection pane="topRight" activeCell="D1" sqref="D1"/>
      <selection pane="bottomLeft" activeCell="A4" sqref="A4"/>
      <selection pane="bottomRight" activeCell="H14" sqref="H14:H22"/>
    </sheetView>
  </sheetViews>
  <sheetFormatPr defaultColWidth="9.140625" defaultRowHeight="11.25" x14ac:dyDescent="0.2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9.5703125" style="29" bestFit="1" customWidth="1"/>
    <col min="18" max="16384" width="9.140625" style="2"/>
  </cols>
  <sheetData>
    <row r="1" spans="1:17" x14ac:dyDescent="0.2">
      <c r="A1" s="18" t="s">
        <v>1499</v>
      </c>
      <c r="D1" s="17" t="s">
        <v>20</v>
      </c>
    </row>
    <row r="3" spans="1:17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191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192</v>
      </c>
      <c r="K3" s="343" t="s">
        <v>187</v>
      </c>
      <c r="L3" s="344" t="str">
        <f>+mayor!L3</f>
        <v>INTEREST</v>
      </c>
      <c r="M3" s="345" t="s">
        <v>12</v>
      </c>
      <c r="N3" s="343" t="s">
        <v>184</v>
      </c>
      <c r="O3" s="343" t="s">
        <v>183</v>
      </c>
      <c r="P3" s="346" t="s">
        <v>86</v>
      </c>
      <c r="Q3" s="347" t="s">
        <v>11</v>
      </c>
    </row>
    <row r="4" spans="1:17" s="9" customFormat="1" ht="14.25" customHeight="1" thickBot="1" x14ac:dyDescent="0.25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 x14ac:dyDescent="0.25">
      <c r="A5" s="330" t="s">
        <v>10</v>
      </c>
      <c r="B5" s="331" t="s">
        <v>483</v>
      </c>
      <c r="D5" s="542" t="s">
        <v>258</v>
      </c>
      <c r="E5" s="543"/>
      <c r="F5" s="544"/>
    </row>
    <row r="6" spans="1:17" x14ac:dyDescent="0.2">
      <c r="G6" s="9"/>
      <c r="H6" s="9"/>
      <c r="I6" s="9"/>
      <c r="J6" s="9"/>
      <c r="Q6" s="21"/>
    </row>
    <row r="7" spans="1:17" s="9" customFormat="1" x14ac:dyDescent="0.2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33733.133433283358</v>
      </c>
      <c r="F7" s="37">
        <v>3000</v>
      </c>
      <c r="G7" s="37">
        <f>5500*(1+CALC!$A$2)</f>
        <v>5830</v>
      </c>
      <c r="H7" s="37">
        <f>6000*(1+CALC!$A$2)</f>
        <v>6360</v>
      </c>
      <c r="I7" s="37">
        <v>34799.03</v>
      </c>
      <c r="J7" s="37"/>
      <c r="K7" s="37">
        <f>525*(1.05+CALC!$A$2)</f>
        <v>582.75</v>
      </c>
      <c r="L7" s="37"/>
      <c r="M7" s="37">
        <f>SUM(E7:L7)</f>
        <v>84304.913433283364</v>
      </c>
      <c r="N7" s="32">
        <f>M7/CALC!$A$8*CALC!$A$6</f>
        <v>8358.9127091756072</v>
      </c>
      <c r="O7" s="37">
        <f>+M7+N7</f>
        <v>92663.826142458973</v>
      </c>
      <c r="P7" s="48">
        <v>6.67</v>
      </c>
      <c r="Q7" s="49"/>
    </row>
    <row r="8" spans="1:17" x14ac:dyDescent="0.2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33733.133433283358</v>
      </c>
      <c r="F9" s="14">
        <f t="shared" si="0"/>
        <v>3000</v>
      </c>
      <c r="G9" s="14">
        <f t="shared" si="0"/>
        <v>5830</v>
      </c>
      <c r="H9" s="14">
        <f t="shared" si="0"/>
        <v>6360</v>
      </c>
      <c r="I9" s="14">
        <f t="shared" si="0"/>
        <v>34799.03</v>
      </c>
      <c r="J9" s="14">
        <f t="shared" si="0"/>
        <v>0</v>
      </c>
      <c r="K9" s="14">
        <f t="shared" si="0"/>
        <v>582.75</v>
      </c>
      <c r="L9" s="14">
        <f t="shared" si="0"/>
        <v>0</v>
      </c>
      <c r="M9" s="14">
        <f>SUM(M7:M8)</f>
        <v>84304.913433283364</v>
      </c>
      <c r="N9" s="14">
        <f>M9/CALC!$A$8*CALC!$A$6</f>
        <v>8358.9127091756072</v>
      </c>
      <c r="O9" s="14">
        <f>+M9+N9</f>
        <v>92663.826142458973</v>
      </c>
      <c r="P9" s="33"/>
      <c r="Q9" s="135">
        <f>(+O9/D9)*(1+CALC!$A$3)</f>
        <v>6.1775884094972646</v>
      </c>
    </row>
    <row r="10" spans="1:17" s="10" customFormat="1" ht="17.25" customHeight="1" thickBot="1" x14ac:dyDescent="0.25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 x14ac:dyDescent="0.25">
      <c r="A11" s="330" t="s">
        <v>10</v>
      </c>
      <c r="B11" s="331" t="s">
        <v>484</v>
      </c>
      <c r="D11" s="542" t="s">
        <v>259</v>
      </c>
      <c r="E11" s="543"/>
      <c r="F11" s="544"/>
    </row>
    <row r="12" spans="1:17" x14ac:dyDescent="0.2">
      <c r="G12" s="9"/>
      <c r="H12" s="9"/>
      <c r="I12" s="9"/>
      <c r="J12" s="9"/>
      <c r="Q12" s="21"/>
    </row>
    <row r="13" spans="1:17" s="9" customFormat="1" x14ac:dyDescent="0.2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150000</v>
      </c>
      <c r="F13" s="37">
        <v>3000</v>
      </c>
      <c r="G13" s="37">
        <f>6057.278*(1+CALC!$A$2)</f>
        <v>6420.714680000001</v>
      </c>
      <c r="H13" s="37">
        <f>15000*(1+CALC!$A$2)</f>
        <v>15900</v>
      </c>
      <c r="I13" s="37">
        <v>65684.39</v>
      </c>
      <c r="J13" s="37"/>
      <c r="K13" s="37">
        <f>1400*(1.05+CALC!$A$2)</f>
        <v>1554.0000000000002</v>
      </c>
      <c r="L13" s="37"/>
      <c r="M13" s="37">
        <f t="shared" ref="M13:M22" si="1">SUM(E13:L13)</f>
        <v>242559.10467999999</v>
      </c>
      <c r="N13" s="32">
        <f>M13/CALC!$A$8*CALC!$A$6</f>
        <v>24049.966962369774</v>
      </c>
      <c r="O13" s="37">
        <f t="shared" ref="O13:O22" si="2">+M13+N13</f>
        <v>266609.07164236979</v>
      </c>
      <c r="P13" s="48">
        <v>2</v>
      </c>
      <c r="Q13" s="49"/>
    </row>
    <row r="14" spans="1:17" s="9" customFormat="1" x14ac:dyDescent="0.2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135000</v>
      </c>
      <c r="F14" s="37">
        <v>3000</v>
      </c>
      <c r="G14" s="37">
        <f>6057.278*(1+CALC!$A$2)</f>
        <v>6420.714680000001</v>
      </c>
      <c r="H14" s="37">
        <f>15000*(1+CALC!$A$2)</f>
        <v>15900</v>
      </c>
      <c r="I14" s="37">
        <v>65684.39</v>
      </c>
      <c r="J14" s="37"/>
      <c r="K14" s="37">
        <f>1400*(1.05+CALC!$A$2)</f>
        <v>1554.0000000000002</v>
      </c>
      <c r="L14" s="37"/>
      <c r="M14" s="37">
        <f t="shared" si="1"/>
        <v>227559.10467999999</v>
      </c>
      <c r="N14" s="32">
        <f>M14/CALC!$A$8*CALC!$A$6</f>
        <v>22562.70263184105</v>
      </c>
      <c r="O14" s="37">
        <f t="shared" si="2"/>
        <v>250121.80731184105</v>
      </c>
      <c r="P14" s="48">
        <v>2</v>
      </c>
      <c r="Q14" s="49"/>
    </row>
    <row r="15" spans="1:17" s="9" customFormat="1" x14ac:dyDescent="0.2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75000</v>
      </c>
      <c r="F15" s="37">
        <v>3000</v>
      </c>
      <c r="G15" s="37">
        <f>6057.278*(1+CALC!$A$2)</f>
        <v>6420.714680000001</v>
      </c>
      <c r="H15" s="37">
        <f>15000*(1+CALC!$A$2)</f>
        <v>15900</v>
      </c>
      <c r="I15" s="37">
        <v>65684.39</v>
      </c>
      <c r="J15" s="37"/>
      <c r="K15" s="37">
        <f>1400*(1.05+CALC!$A$2)</f>
        <v>1554.0000000000002</v>
      </c>
      <c r="L15" s="37"/>
      <c r="M15" s="37">
        <f t="shared" si="1"/>
        <v>167559.10467999999</v>
      </c>
      <c r="N15" s="32">
        <f>M15/CALC!$A$8*CALC!$A$6</f>
        <v>16613.645309726158</v>
      </c>
      <c r="O15" s="37">
        <f t="shared" si="2"/>
        <v>184172.74998972614</v>
      </c>
      <c r="P15" s="48">
        <v>2</v>
      </c>
      <c r="Q15" s="49"/>
    </row>
    <row r="16" spans="1:17" s="9" customFormat="1" x14ac:dyDescent="0.2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75000</v>
      </c>
      <c r="F16" s="37">
        <v>3000</v>
      </c>
      <c r="G16" s="37">
        <f>6057.278*(1+CALC!$A$2)</f>
        <v>6420.714680000001</v>
      </c>
      <c r="H16" s="37">
        <f>15000*(1+CALC!$A$2)</f>
        <v>15900</v>
      </c>
      <c r="I16" s="37">
        <v>65684.39</v>
      </c>
      <c r="J16" s="37"/>
      <c r="K16" s="37">
        <f>1400*(1.05+CALC!$A$2)</f>
        <v>1554.0000000000002</v>
      </c>
      <c r="L16" s="37"/>
      <c r="M16" s="37">
        <f t="shared" si="1"/>
        <v>167559.10467999999</v>
      </c>
      <c r="N16" s="32">
        <f>M16/CALC!$A$8*CALC!$A$6</f>
        <v>16613.645309726158</v>
      </c>
      <c r="O16" s="37">
        <f t="shared" si="2"/>
        <v>184172.74998972614</v>
      </c>
      <c r="P16" s="48">
        <v>2</v>
      </c>
      <c r="Q16" s="49"/>
    </row>
    <row r="17" spans="1:17" s="9" customFormat="1" x14ac:dyDescent="0.2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112500</v>
      </c>
      <c r="F17" s="37">
        <v>3000</v>
      </c>
      <c r="G17" s="37">
        <f>6057.278*(1+CALC!$A$2)</f>
        <v>6420.714680000001</v>
      </c>
      <c r="H17" s="37">
        <f>15000*(1+CALC!$A$2)</f>
        <v>15900</v>
      </c>
      <c r="I17" s="37">
        <v>65684.39</v>
      </c>
      <c r="J17" s="37"/>
      <c r="K17" s="37">
        <f>1400*(1.05+CALC!$A$2)</f>
        <v>1554.0000000000002</v>
      </c>
      <c r="L17" s="37"/>
      <c r="M17" s="37">
        <f t="shared" si="1"/>
        <v>205059.10467999999</v>
      </c>
      <c r="N17" s="32">
        <f>M17/CALC!$A$8*CALC!$A$6</f>
        <v>20331.806136047966</v>
      </c>
      <c r="O17" s="37">
        <f t="shared" si="2"/>
        <v>225390.91081604795</v>
      </c>
      <c r="P17" s="48">
        <v>2</v>
      </c>
      <c r="Q17" s="49"/>
    </row>
    <row r="18" spans="1:17" s="9" customFormat="1" x14ac:dyDescent="0.2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75000</v>
      </c>
      <c r="F18" s="37">
        <v>3000</v>
      </c>
      <c r="G18" s="37">
        <f>6057.278*(1+CALC!$A$2)</f>
        <v>6420.714680000001</v>
      </c>
      <c r="H18" s="37">
        <f>15000*(1+CALC!$A$2)</f>
        <v>15900</v>
      </c>
      <c r="I18" s="37">
        <v>65684.39</v>
      </c>
      <c r="J18" s="37"/>
      <c r="K18" s="37">
        <f>1400*(1.05+CALC!$A$2)</f>
        <v>1554.0000000000002</v>
      </c>
      <c r="L18" s="37"/>
      <c r="M18" s="37">
        <f t="shared" si="1"/>
        <v>167559.10467999999</v>
      </c>
      <c r="N18" s="32">
        <f>M18/CALC!$A$8*CALC!$A$6</f>
        <v>16613.645309726158</v>
      </c>
      <c r="O18" s="37">
        <f t="shared" si="2"/>
        <v>184172.74998972614</v>
      </c>
      <c r="P18" s="48">
        <v>2</v>
      </c>
      <c r="Q18" s="49"/>
    </row>
    <row r="19" spans="1:17" s="9" customFormat="1" x14ac:dyDescent="0.2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187500</v>
      </c>
      <c r="F19" s="37">
        <v>3000</v>
      </c>
      <c r="G19" s="37">
        <f>6057.278*(1+CALC!$A$2)</f>
        <v>6420.714680000001</v>
      </c>
      <c r="H19" s="37">
        <f>15000*(1+CALC!$A$2)</f>
        <v>15900</v>
      </c>
      <c r="I19" s="37">
        <v>65684.39</v>
      </c>
      <c r="J19" s="37"/>
      <c r="K19" s="37">
        <f>1400*(1.05+CALC!$A$2)</f>
        <v>1554.0000000000002</v>
      </c>
      <c r="L19" s="37"/>
      <c r="M19" s="37">
        <f t="shared" si="1"/>
        <v>280059.10467999999</v>
      </c>
      <c r="N19" s="32">
        <f>M19/CALC!$A$8*CALC!$A$6</f>
        <v>27768.127788691585</v>
      </c>
      <c r="O19" s="37">
        <f t="shared" si="2"/>
        <v>307827.2324686916</v>
      </c>
      <c r="P19" s="48">
        <v>2</v>
      </c>
      <c r="Q19" s="49"/>
    </row>
    <row r="20" spans="1:17" s="9" customFormat="1" x14ac:dyDescent="0.2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75000</v>
      </c>
      <c r="F20" s="37">
        <v>3000</v>
      </c>
      <c r="G20" s="37">
        <f>6057.278*(1+CALC!$A$2)</f>
        <v>6420.714680000001</v>
      </c>
      <c r="H20" s="37">
        <f>15000*(1+CALC!$A$2)</f>
        <v>15900</v>
      </c>
      <c r="I20" s="37">
        <v>65684.39</v>
      </c>
      <c r="J20" s="37"/>
      <c r="K20" s="37">
        <f>1400*(1.05+CALC!$A$2)</f>
        <v>1554.0000000000002</v>
      </c>
      <c r="L20" s="37"/>
      <c r="M20" s="37">
        <f t="shared" si="1"/>
        <v>167559.10467999999</v>
      </c>
      <c r="N20" s="32">
        <f>M20/CALC!$A$8*CALC!$A$6</f>
        <v>16613.645309726158</v>
      </c>
      <c r="O20" s="37">
        <f t="shared" si="2"/>
        <v>184172.74998972614</v>
      </c>
      <c r="P20" s="48">
        <v>2</v>
      </c>
      <c r="Q20" s="49"/>
    </row>
    <row r="21" spans="1:17" s="9" customFormat="1" x14ac:dyDescent="0.2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75000</v>
      </c>
      <c r="F21" s="37">
        <v>3000</v>
      </c>
      <c r="G21" s="37">
        <f>6057.278*(1+CALC!$A$2)</f>
        <v>6420.714680000001</v>
      </c>
      <c r="H21" s="37">
        <f>15000*(1+CALC!$A$2)</f>
        <v>15900</v>
      </c>
      <c r="I21" s="37">
        <v>65684.39</v>
      </c>
      <c r="J21" s="37"/>
      <c r="K21" s="37">
        <f>1400*(1.05+CALC!$A$2)</f>
        <v>1554.0000000000002</v>
      </c>
      <c r="L21" s="37"/>
      <c r="M21" s="37">
        <f t="shared" si="1"/>
        <v>167559.10467999999</v>
      </c>
      <c r="N21" s="32">
        <f>M21/CALC!$A$8*CALC!$A$6</f>
        <v>16613.645309726158</v>
      </c>
      <c r="O21" s="37">
        <f t="shared" si="2"/>
        <v>184172.74998972614</v>
      </c>
      <c r="P21" s="48">
        <v>2</v>
      </c>
      <c r="Q21" s="49"/>
    </row>
    <row r="22" spans="1:17" s="9" customFormat="1" x14ac:dyDescent="0.2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75000</v>
      </c>
      <c r="F22" s="37">
        <v>3000</v>
      </c>
      <c r="G22" s="37">
        <f>6057.278*(1+CALC!$A$2)</f>
        <v>6420.714680000001</v>
      </c>
      <c r="H22" s="37">
        <f>15000*(1+CALC!$A$2)</f>
        <v>15900</v>
      </c>
      <c r="I22" s="37">
        <v>65684.39</v>
      </c>
      <c r="J22" s="37"/>
      <c r="K22" s="37">
        <f>1400*(1.05+CALC!$A$2)</f>
        <v>1554.0000000000002</v>
      </c>
      <c r="L22" s="37"/>
      <c r="M22" s="37">
        <f t="shared" si="1"/>
        <v>167559.10467999999</v>
      </c>
      <c r="N22" s="32">
        <f>M22/CALC!$A$8*CALC!$A$6</f>
        <v>16613.645309726158</v>
      </c>
      <c r="O22" s="37">
        <f t="shared" si="2"/>
        <v>184172.74998972614</v>
      </c>
      <c r="P22" s="48">
        <v>2</v>
      </c>
      <c r="Q22" s="49"/>
    </row>
    <row r="23" spans="1:17" s="9" customFormat="1" x14ac:dyDescent="0.2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 x14ac:dyDescent="0.2">
      <c r="A24" s="4"/>
      <c r="B24" s="4" t="s">
        <v>14</v>
      </c>
      <c r="C24" s="26"/>
      <c r="D24" s="16">
        <f t="shared" ref="D24:L24" si="3">SUM(D13:D23)</f>
        <v>138000</v>
      </c>
      <c r="E24" s="14">
        <f t="shared" si="3"/>
        <v>1035000</v>
      </c>
      <c r="F24" s="14">
        <f t="shared" si="3"/>
        <v>30000</v>
      </c>
      <c r="G24" s="14">
        <f t="shared" si="3"/>
        <v>64207.146800000017</v>
      </c>
      <c r="H24" s="14">
        <f t="shared" si="3"/>
        <v>159000</v>
      </c>
      <c r="I24" s="14">
        <f t="shared" si="3"/>
        <v>656843.9</v>
      </c>
      <c r="J24" s="14">
        <f t="shared" si="3"/>
        <v>0</v>
      </c>
      <c r="K24" s="14">
        <f t="shared" si="3"/>
        <v>15540.000000000002</v>
      </c>
      <c r="L24" s="14">
        <f t="shared" si="3"/>
        <v>0</v>
      </c>
      <c r="M24" s="14">
        <f>SUM(M13:M23)</f>
        <v>1960591.0467999997</v>
      </c>
      <c r="N24" s="14">
        <f>M24/CALC!$A$8*CALC!$A$6</f>
        <v>194394.4753773073</v>
      </c>
      <c r="O24" s="14">
        <f>+M24+N24</f>
        <v>2154985.5221773069</v>
      </c>
      <c r="P24" s="33"/>
      <c r="Q24" s="135">
        <f>(+O24/D24)*(1+CALC!$A$3)</f>
        <v>15.615837117226862</v>
      </c>
    </row>
    <row r="26" spans="1:17" ht="12" thickBot="1" x14ac:dyDescent="0.25"/>
    <row r="27" spans="1:17" ht="12" thickBot="1" x14ac:dyDescent="0.25">
      <c r="A27" s="330" t="s">
        <v>10</v>
      </c>
      <c r="B27" s="331" t="s">
        <v>485</v>
      </c>
      <c r="D27" s="542" t="s">
        <v>260</v>
      </c>
      <c r="E27" s="543"/>
      <c r="F27" s="544"/>
    </row>
    <row r="28" spans="1:17" x14ac:dyDescent="0.2">
      <c r="G28" s="9"/>
      <c r="H28" s="9"/>
      <c r="I28" s="9"/>
      <c r="J28" s="9"/>
      <c r="Q28" s="21"/>
    </row>
    <row r="29" spans="1:17" s="9" customFormat="1" x14ac:dyDescent="0.2">
      <c r="A29" s="284" t="str">
        <f>+'1-10'!C29</f>
        <v>NISSAN NP 300 4X4 [173]</v>
      </c>
      <c r="B29" s="284" t="str">
        <f>+'1-10'!R29</f>
        <v>CLW 529 L</v>
      </c>
      <c r="C29" s="348" t="s">
        <v>331</v>
      </c>
      <c r="D29" s="46">
        <v>18000</v>
      </c>
      <c r="E29" s="62">
        <f>+D29/P29*(CALC!$A$4)</f>
        <v>29702.970297029704</v>
      </c>
      <c r="F29" s="37">
        <v>3000</v>
      </c>
      <c r="G29" s="37">
        <f>5500*(1+CALC!$A$2)</f>
        <v>5830</v>
      </c>
      <c r="H29" s="37">
        <f>8000*(1+CALC!$A$2)</f>
        <v>8480</v>
      </c>
      <c r="I29" s="37">
        <v>53515.18</v>
      </c>
      <c r="J29" s="37"/>
      <c r="K29" s="37">
        <f>525*(1.05+CALC!$A$2)</f>
        <v>582.75</v>
      </c>
      <c r="L29" s="37"/>
      <c r="M29" s="37">
        <f t="shared" ref="M29:M42" si="4">SUM(E29:L29)</f>
        <v>101110.9002970297</v>
      </c>
      <c r="N29" s="37">
        <f>M29/CALC!$A$8*CALC!$A$6</f>
        <v>10025.242362627889</v>
      </c>
      <c r="O29" s="37">
        <f t="shared" ref="O29:O42" si="5">+M29+N29</f>
        <v>111136.14265965759</v>
      </c>
      <c r="P29" s="48">
        <v>9.09</v>
      </c>
      <c r="Q29" s="49"/>
    </row>
    <row r="30" spans="1:17" s="9" customFormat="1" x14ac:dyDescent="0.2">
      <c r="A30" s="284" t="str">
        <f>+'1-10'!C30</f>
        <v>NISSAN NP 300 4X4 [173]</v>
      </c>
      <c r="B30" s="284" t="str">
        <f>+'1-10'!R30</f>
        <v>CLW 557 L</v>
      </c>
      <c r="C30" s="348" t="s">
        <v>261</v>
      </c>
      <c r="D30" s="46">
        <v>38000</v>
      </c>
      <c r="E30" s="62">
        <f>+D30/P30*(CALC!$A$4)</f>
        <v>62706.27062706271</v>
      </c>
      <c r="F30" s="37">
        <v>3000</v>
      </c>
      <c r="G30" s="37">
        <f>5500*(1+CALC!$A$2)</f>
        <v>5830</v>
      </c>
      <c r="H30" s="37">
        <f>8000*(1+CALC!$A$2)</f>
        <v>8480</v>
      </c>
      <c r="I30" s="37">
        <v>53515.18</v>
      </c>
      <c r="J30" s="37"/>
      <c r="K30" s="37">
        <f>525*(1.05+CALC!$A$2)</f>
        <v>582.75</v>
      </c>
      <c r="L30" s="37"/>
      <c r="M30" s="37">
        <f t="shared" si="4"/>
        <v>134114.2006270627</v>
      </c>
      <c r="N30" s="37">
        <f>M30/CALC!$A$8*CALC!$A$6</f>
        <v>13297.551120666883</v>
      </c>
      <c r="O30" s="37">
        <f t="shared" si="5"/>
        <v>147411.75174772958</v>
      </c>
      <c r="P30" s="48">
        <v>9.09</v>
      </c>
      <c r="Q30" s="49"/>
    </row>
    <row r="31" spans="1:17" s="9" customFormat="1" x14ac:dyDescent="0.2">
      <c r="A31" s="284" t="str">
        <f>+'1-10'!C31</f>
        <v>NISSAN NP 300 4X4 [173]</v>
      </c>
      <c r="B31" s="284" t="str">
        <f>+'1-10'!R31</f>
        <v>CLW 563 L</v>
      </c>
      <c r="C31" s="348" t="s">
        <v>262</v>
      </c>
      <c r="D31" s="46">
        <v>40000</v>
      </c>
      <c r="E31" s="62">
        <f>+D31/P31*(CALC!$A$4)</f>
        <v>66006.600660066004</v>
      </c>
      <c r="F31" s="37">
        <v>3000</v>
      </c>
      <c r="G31" s="37">
        <f>5500*(1+CALC!$A$2)</f>
        <v>5830</v>
      </c>
      <c r="H31" s="37">
        <f>8000*(1+CALC!$A$2)</f>
        <v>8480</v>
      </c>
      <c r="I31" s="37">
        <v>53515.18</v>
      </c>
      <c r="J31" s="37"/>
      <c r="K31" s="37">
        <f>525*(1.05+CALC!$A$2)</f>
        <v>582.75</v>
      </c>
      <c r="L31" s="37"/>
      <c r="M31" s="37">
        <f t="shared" si="4"/>
        <v>137414.530660066</v>
      </c>
      <c r="N31" s="37">
        <f>M31/CALC!$A$8*CALC!$A$6</f>
        <v>13624.781996470783</v>
      </c>
      <c r="O31" s="37">
        <f t="shared" si="5"/>
        <v>151039.31265653679</v>
      </c>
      <c r="P31" s="48">
        <v>9.09</v>
      </c>
      <c r="Q31" s="49"/>
    </row>
    <row r="32" spans="1:17" s="9" customFormat="1" x14ac:dyDescent="0.2">
      <c r="A32" s="284" t="str">
        <f>+'1-10'!C32</f>
        <v>NISSAN NP 300 4X4 [173]</v>
      </c>
      <c r="B32" s="284" t="str">
        <f>+'1-10'!R32</f>
        <v>CLW 565 L</v>
      </c>
      <c r="C32" s="348" t="s">
        <v>263</v>
      </c>
      <c r="D32" s="46">
        <v>25000</v>
      </c>
      <c r="E32" s="62">
        <f>+D32/P32*(CALC!$A$4)</f>
        <v>41254.125412541252</v>
      </c>
      <c r="F32" s="37">
        <v>3000</v>
      </c>
      <c r="G32" s="37">
        <f>5500*(1+CALC!$A$2)</f>
        <v>5830</v>
      </c>
      <c r="H32" s="37">
        <f>8000*(1+CALC!$A$2)</f>
        <v>8480</v>
      </c>
      <c r="I32" s="37">
        <v>53515.18</v>
      </c>
      <c r="J32" s="37"/>
      <c r="K32" s="37">
        <f>525*(1.05+CALC!$A$2)</f>
        <v>582.75</v>
      </c>
      <c r="L32" s="37"/>
      <c r="M32" s="37">
        <f t="shared" si="4"/>
        <v>112662.05541254126</v>
      </c>
      <c r="N32" s="37">
        <f>M32/CALC!$A$8*CALC!$A$6</f>
        <v>11170.550427941536</v>
      </c>
      <c r="O32" s="37">
        <f t="shared" si="5"/>
        <v>123832.60584048279</v>
      </c>
      <c r="P32" s="48">
        <v>9.09</v>
      </c>
      <c r="Q32" s="49"/>
    </row>
    <row r="33" spans="1:17" s="9" customFormat="1" x14ac:dyDescent="0.2">
      <c r="A33" s="284" t="str">
        <f>+'1-10'!C33</f>
        <v>NISSAN NP 300 4X4 [173]</v>
      </c>
      <c r="B33" s="284" t="str">
        <f>+'1-10'!R33</f>
        <v>CLW 523 L</v>
      </c>
      <c r="C33" s="348" t="s">
        <v>264</v>
      </c>
      <c r="D33" s="46">
        <v>35000</v>
      </c>
      <c r="E33" s="62">
        <f>+D33/P33*(CALC!$A$4)</f>
        <v>57755.775577557753</v>
      </c>
      <c r="F33" s="37">
        <v>3000</v>
      </c>
      <c r="G33" s="37">
        <f>5500*(1+CALC!$A$2)</f>
        <v>5830</v>
      </c>
      <c r="H33" s="37">
        <f>8000*(1+CALC!$A$2)</f>
        <v>8480</v>
      </c>
      <c r="I33" s="37">
        <v>53515.18</v>
      </c>
      <c r="J33" s="37"/>
      <c r="K33" s="37">
        <f>525*(1.05+CALC!$A$2)</f>
        <v>582.75</v>
      </c>
      <c r="L33" s="37"/>
      <c r="M33" s="37">
        <f t="shared" si="4"/>
        <v>129163.70557755776</v>
      </c>
      <c r="N33" s="37">
        <f>M33/CALC!$A$8*CALC!$A$6</f>
        <v>12806.704806961036</v>
      </c>
      <c r="O33" s="37">
        <f t="shared" si="5"/>
        <v>141970.41038451879</v>
      </c>
      <c r="P33" s="48">
        <v>9.09</v>
      </c>
      <c r="Q33" s="49"/>
    </row>
    <row r="34" spans="1:17" s="9" customFormat="1" x14ac:dyDescent="0.2">
      <c r="A34" s="284" t="str">
        <f>+'1-10'!C34</f>
        <v>NISSAN NP 300 4X4 [173]</v>
      </c>
      <c r="B34" s="284" t="str">
        <f>+'1-10'!R34</f>
        <v>CLW 862 L</v>
      </c>
      <c r="C34" s="348" t="s">
        <v>265</v>
      </c>
      <c r="D34" s="46">
        <v>50000</v>
      </c>
      <c r="E34" s="62">
        <f>+D34/P34*(CALC!$A$4)</f>
        <v>82508.250825082505</v>
      </c>
      <c r="F34" s="37">
        <v>3000</v>
      </c>
      <c r="G34" s="37">
        <f>5500*(1+CALC!$A$2)</f>
        <v>5830</v>
      </c>
      <c r="H34" s="37">
        <f>8000*(1+CALC!$A$2)</f>
        <v>8480</v>
      </c>
      <c r="I34" s="37">
        <v>53515.18</v>
      </c>
      <c r="J34" s="37"/>
      <c r="K34" s="37">
        <f>525*(1.05+CALC!$A$2)</f>
        <v>582.75</v>
      </c>
      <c r="L34" s="37"/>
      <c r="M34" s="37">
        <f t="shared" si="4"/>
        <v>153916.1808250825</v>
      </c>
      <c r="N34" s="37">
        <f>M34/CALC!$A$8*CALC!$A$6</f>
        <v>15260.936375490279</v>
      </c>
      <c r="O34" s="37">
        <f t="shared" si="5"/>
        <v>169177.11720057277</v>
      </c>
      <c r="P34" s="48">
        <v>9.09</v>
      </c>
      <c r="Q34" s="49"/>
    </row>
    <row r="35" spans="1:17" s="9" customFormat="1" x14ac:dyDescent="0.2">
      <c r="A35" s="284" t="str">
        <f>+'1-10'!C35</f>
        <v>NISSAN NP 300 4X4 [173]</v>
      </c>
      <c r="B35" s="284" t="str">
        <f>+'1-10'!R35</f>
        <v>CLW 860 L</v>
      </c>
      <c r="C35" s="348" t="s">
        <v>266</v>
      </c>
      <c r="D35" s="46">
        <v>20000</v>
      </c>
      <c r="E35" s="62">
        <f>+D35/P35*(CALC!$A$4)</f>
        <v>33003.300330033002</v>
      </c>
      <c r="F35" s="37">
        <v>3000</v>
      </c>
      <c r="G35" s="37">
        <f>5500*(1+CALC!$A$2)</f>
        <v>5830</v>
      </c>
      <c r="H35" s="37">
        <f>8000*(1+CALC!$A$2)</f>
        <v>8480</v>
      </c>
      <c r="I35" s="37">
        <v>53515.18</v>
      </c>
      <c r="J35" s="37"/>
      <c r="K35" s="37">
        <f>525*(1.05+CALC!$A$2)</f>
        <v>582.75</v>
      </c>
      <c r="L35" s="37"/>
      <c r="M35" s="37">
        <f t="shared" si="4"/>
        <v>104411.23033003299</v>
      </c>
      <c r="N35" s="37">
        <f>M35/CALC!$A$8*CALC!$A$6</f>
        <v>10352.473238431789</v>
      </c>
      <c r="O35" s="37">
        <f t="shared" si="5"/>
        <v>114763.70356846479</v>
      </c>
      <c r="P35" s="48">
        <v>9.09</v>
      </c>
      <c r="Q35" s="49"/>
    </row>
    <row r="36" spans="1:17" s="9" customFormat="1" x14ac:dyDescent="0.2">
      <c r="A36" s="284" t="str">
        <f>+'1-10'!C36</f>
        <v>NISSAN NP 300 4X4 [173]</v>
      </c>
      <c r="B36" s="284" t="str">
        <f>+'1-10'!R36</f>
        <v>CLW 856 L</v>
      </c>
      <c r="C36" s="348" t="s">
        <v>267</v>
      </c>
      <c r="D36" s="46">
        <v>42000</v>
      </c>
      <c r="E36" s="62">
        <f>+D36/P36*(CALC!$A$4)</f>
        <v>69306.930693069313</v>
      </c>
      <c r="F36" s="37">
        <v>3000</v>
      </c>
      <c r="G36" s="37">
        <f>5500*(1+CALC!$A$2)</f>
        <v>5830</v>
      </c>
      <c r="H36" s="37">
        <f>8000*(1+CALC!$A$2)</f>
        <v>8480</v>
      </c>
      <c r="I36" s="37">
        <v>53515.18</v>
      </c>
      <c r="J36" s="37"/>
      <c r="K36" s="37">
        <f>525*(1.05+CALC!$A$2)</f>
        <v>582.75</v>
      </c>
      <c r="L36" s="37"/>
      <c r="M36" s="37">
        <f t="shared" si="4"/>
        <v>140714.86069306932</v>
      </c>
      <c r="N36" s="37">
        <f>M36/CALC!$A$8*CALC!$A$6</f>
        <v>13952.012872274683</v>
      </c>
      <c r="O36" s="37">
        <f t="shared" si="5"/>
        <v>154666.87356534399</v>
      </c>
      <c r="P36" s="48">
        <v>9.09</v>
      </c>
      <c r="Q36" s="49"/>
    </row>
    <row r="37" spans="1:17" s="9" customFormat="1" x14ac:dyDescent="0.2">
      <c r="A37" s="284" t="str">
        <f>+'1-10'!C37</f>
        <v>NISSAN NP 300 4X4 [173]</v>
      </c>
      <c r="B37" s="284" t="str">
        <f>+'1-10'!R37</f>
        <v>CLW 831 L</v>
      </c>
      <c r="C37" s="348" t="s">
        <v>268</v>
      </c>
      <c r="D37" s="46">
        <v>75000</v>
      </c>
      <c r="E37" s="62">
        <f>+D37/P37*(CALC!$A$4)</f>
        <v>123762.37623762376</v>
      </c>
      <c r="F37" s="37">
        <v>3000</v>
      </c>
      <c r="G37" s="37">
        <f>5500*(1+CALC!$A$2)</f>
        <v>5830</v>
      </c>
      <c r="H37" s="37">
        <f>8000*(1+CALC!$A$2)</f>
        <v>8480</v>
      </c>
      <c r="I37" s="37">
        <v>53515.18</v>
      </c>
      <c r="J37" s="37"/>
      <c r="K37" s="37">
        <f>525*(1.05+CALC!$A$2)</f>
        <v>582.75</v>
      </c>
      <c r="L37" s="37"/>
      <c r="M37" s="37">
        <f t="shared" si="4"/>
        <v>195170.30623762374</v>
      </c>
      <c r="N37" s="37">
        <f>M37/CALC!$A$8*CALC!$A$6</f>
        <v>19351.322323039021</v>
      </c>
      <c r="O37" s="37">
        <f t="shared" si="5"/>
        <v>214521.62856066276</v>
      </c>
      <c r="P37" s="48">
        <v>9.09</v>
      </c>
      <c r="Q37" s="49"/>
    </row>
    <row r="38" spans="1:17" s="9" customFormat="1" x14ac:dyDescent="0.2">
      <c r="A38" s="284" t="str">
        <f>+'1-10'!C38</f>
        <v>NISSAN NP 300 4X4 [173]</v>
      </c>
      <c r="B38" s="284" t="str">
        <f>+'1-10'!R38</f>
        <v>CLW 837 L</v>
      </c>
      <c r="C38" s="348" t="s">
        <v>269</v>
      </c>
      <c r="D38" s="46">
        <v>20000</v>
      </c>
      <c r="E38" s="62">
        <f>+D38/P38*(CALC!$A$4)</f>
        <v>33003.300330033002</v>
      </c>
      <c r="F38" s="37">
        <v>3000</v>
      </c>
      <c r="G38" s="37">
        <f>5500*(1+CALC!$A$2)</f>
        <v>5830</v>
      </c>
      <c r="H38" s="37">
        <f>8000*(1+CALC!$A$2)</f>
        <v>8480</v>
      </c>
      <c r="I38" s="37">
        <v>53515.18</v>
      </c>
      <c r="J38" s="37"/>
      <c r="K38" s="37">
        <f>525*(1.05+CALC!$A$2)</f>
        <v>582.75</v>
      </c>
      <c r="L38" s="37"/>
      <c r="M38" s="37">
        <f t="shared" si="4"/>
        <v>104411.23033003299</v>
      </c>
      <c r="N38" s="37">
        <f>M38/CALC!$A$8*CALC!$A$6</f>
        <v>10352.473238431789</v>
      </c>
      <c r="O38" s="37">
        <f t="shared" si="5"/>
        <v>114763.70356846479</v>
      </c>
      <c r="P38" s="48">
        <v>9.09</v>
      </c>
      <c r="Q38" s="49"/>
    </row>
    <row r="39" spans="1:17" s="9" customFormat="1" x14ac:dyDescent="0.2">
      <c r="A39" s="284" t="str">
        <f>+'1-10'!C39</f>
        <v>NISSAN NP 300 4X4 [173]</v>
      </c>
      <c r="B39" s="284" t="str">
        <f>+'1-10'!R39</f>
        <v>CLW 840 L</v>
      </c>
      <c r="C39" s="348" t="s">
        <v>270</v>
      </c>
      <c r="D39" s="46">
        <v>20000</v>
      </c>
      <c r="E39" s="62">
        <f>+D39/P39*(CALC!$A$4)</f>
        <v>33003.300330033002</v>
      </c>
      <c r="F39" s="37">
        <v>3000</v>
      </c>
      <c r="G39" s="37">
        <f>5500*(1+CALC!$A$2)</f>
        <v>5830</v>
      </c>
      <c r="H39" s="37">
        <f>8000*(1+CALC!$A$2)</f>
        <v>8480</v>
      </c>
      <c r="I39" s="37">
        <v>53515.18</v>
      </c>
      <c r="J39" s="37"/>
      <c r="K39" s="37">
        <f>525*(1.05+CALC!$A$2)</f>
        <v>582.75</v>
      </c>
      <c r="L39" s="37"/>
      <c r="M39" s="37">
        <f t="shared" si="4"/>
        <v>104411.23033003299</v>
      </c>
      <c r="N39" s="37">
        <f>M39/CALC!$A$8*CALC!$A$6</f>
        <v>10352.473238431789</v>
      </c>
      <c r="O39" s="37">
        <f t="shared" si="5"/>
        <v>114763.70356846479</v>
      </c>
      <c r="P39" s="48">
        <v>9.09</v>
      </c>
      <c r="Q39" s="49"/>
    </row>
    <row r="40" spans="1:17" s="9" customFormat="1" x14ac:dyDescent="0.2">
      <c r="A40" s="284" t="str">
        <f>+'1-10'!C40</f>
        <v>NISSAN NP 300 4X4 [173]</v>
      </c>
      <c r="B40" s="284" t="str">
        <f>+'1-10'!R40</f>
        <v>CLW 864 L</v>
      </c>
      <c r="C40" s="348" t="s">
        <v>271</v>
      </c>
      <c r="D40" s="46">
        <v>40000</v>
      </c>
      <c r="E40" s="62">
        <f>+D40/P40*(CALC!$A$4)</f>
        <v>66006.600660066004</v>
      </c>
      <c r="F40" s="37">
        <v>3000</v>
      </c>
      <c r="G40" s="37">
        <f>5500*(1+CALC!$A$2)</f>
        <v>5830</v>
      </c>
      <c r="H40" s="37">
        <f>8000*(1+CALC!$A$2)</f>
        <v>8480</v>
      </c>
      <c r="I40" s="37">
        <v>53515.18</v>
      </c>
      <c r="J40" s="37"/>
      <c r="K40" s="37">
        <f>525*(1.05+CALC!$A$2)</f>
        <v>582.75</v>
      </c>
      <c r="L40" s="37"/>
      <c r="M40" s="37">
        <f t="shared" si="4"/>
        <v>137414.530660066</v>
      </c>
      <c r="N40" s="37">
        <f>M40/CALC!$A$8*CALC!$A$6</f>
        <v>13624.781996470783</v>
      </c>
      <c r="O40" s="37">
        <f t="shared" si="5"/>
        <v>151039.31265653679</v>
      </c>
      <c r="P40" s="48">
        <v>9.09</v>
      </c>
      <c r="Q40" s="49"/>
    </row>
    <row r="41" spans="1:17" s="9" customFormat="1" x14ac:dyDescent="0.2">
      <c r="A41" s="284" t="str">
        <f>+'1-10'!C41</f>
        <v>NISSAN NP 300 4X4 [173]</v>
      </c>
      <c r="B41" s="284" t="str">
        <f>+'1-10'!R41</f>
        <v>CLW 845 L</v>
      </c>
      <c r="C41" s="348" t="s">
        <v>272</v>
      </c>
      <c r="D41" s="46">
        <v>30000</v>
      </c>
      <c r="E41" s="62">
        <f>+D41/P41*(CALC!$A$4)</f>
        <v>49504.950495049503</v>
      </c>
      <c r="F41" s="37">
        <v>3000</v>
      </c>
      <c r="G41" s="37">
        <f>5500*(1+CALC!$A$2)</f>
        <v>5830</v>
      </c>
      <c r="H41" s="37">
        <f>8000*(1+CALC!$A$2)</f>
        <v>8480</v>
      </c>
      <c r="I41" s="37">
        <v>53515.18</v>
      </c>
      <c r="J41" s="37"/>
      <c r="K41" s="37">
        <f>525*(1.05+CALC!$A$2)</f>
        <v>582.75</v>
      </c>
      <c r="L41" s="37"/>
      <c r="M41" s="37">
        <f t="shared" si="4"/>
        <v>120912.8804950495</v>
      </c>
      <c r="N41" s="37">
        <f>M41/CALC!$A$8*CALC!$A$6</f>
        <v>11988.627617451286</v>
      </c>
      <c r="O41" s="37">
        <f t="shared" si="5"/>
        <v>132901.50811250077</v>
      </c>
      <c r="P41" s="48">
        <v>9.09</v>
      </c>
      <c r="Q41" s="49"/>
    </row>
    <row r="42" spans="1:17" s="9" customFormat="1" x14ac:dyDescent="0.2">
      <c r="A42" s="284" t="str">
        <f>+'1-10'!C42</f>
        <v>NISSAN NP 300 4X4 [173]</v>
      </c>
      <c r="B42" s="284" t="str">
        <f>+'1-10'!R42</f>
        <v>CLW 849 L</v>
      </c>
      <c r="C42" s="348" t="s">
        <v>273</v>
      </c>
      <c r="D42" s="46">
        <v>40000</v>
      </c>
      <c r="E42" s="62">
        <f>+D42/P42*(CALC!$A$4)</f>
        <v>66006.600660066004</v>
      </c>
      <c r="F42" s="37">
        <v>3000</v>
      </c>
      <c r="G42" s="37">
        <f>5500*(1+CALC!$A$2)</f>
        <v>5830</v>
      </c>
      <c r="H42" s="37">
        <f>8000*(1+CALC!$A$2)</f>
        <v>8480</v>
      </c>
      <c r="I42" s="37">
        <v>53515.18</v>
      </c>
      <c r="J42" s="37"/>
      <c r="K42" s="37">
        <f>525*(1.05+CALC!$A$2)</f>
        <v>582.75</v>
      </c>
      <c r="L42" s="37"/>
      <c r="M42" s="37">
        <f t="shared" si="4"/>
        <v>137414.530660066</v>
      </c>
      <c r="N42" s="37">
        <f>M42/CALC!$A$8*CALC!$A$6</f>
        <v>13624.781996470783</v>
      </c>
      <c r="O42" s="37">
        <f t="shared" si="5"/>
        <v>151039.31265653679</v>
      </c>
      <c r="P42" s="48">
        <v>9.09</v>
      </c>
      <c r="Q42" s="49"/>
    </row>
    <row r="43" spans="1:17" s="18" customFormat="1" x14ac:dyDescent="0.2">
      <c r="A43" s="4"/>
      <c r="B43" s="4" t="s">
        <v>14</v>
      </c>
      <c r="C43" s="26"/>
      <c r="D43" s="16">
        <f t="shared" ref="D43:M43" si="6">SUM(D29:D42)</f>
        <v>493000</v>
      </c>
      <c r="E43" s="14">
        <f t="shared" si="6"/>
        <v>813531.35313531349</v>
      </c>
      <c r="F43" s="14">
        <f t="shared" si="6"/>
        <v>42000</v>
      </c>
      <c r="G43" s="14">
        <f t="shared" si="6"/>
        <v>81620</v>
      </c>
      <c r="H43" s="14">
        <f t="shared" si="6"/>
        <v>118720</v>
      </c>
      <c r="I43" s="14">
        <f t="shared" si="6"/>
        <v>749212.52000000025</v>
      </c>
      <c r="J43" s="14">
        <f t="shared" si="6"/>
        <v>0</v>
      </c>
      <c r="K43" s="14">
        <f t="shared" si="6"/>
        <v>8158.5</v>
      </c>
      <c r="L43" s="14">
        <f t="shared" si="6"/>
        <v>0</v>
      </c>
      <c r="M43" s="14">
        <f t="shared" si="6"/>
        <v>1813242.3731353136</v>
      </c>
      <c r="N43" s="14">
        <f>M43/CALC!$A$8*CALC!$A$6</f>
        <v>179784.71361116035</v>
      </c>
      <c r="O43" s="14">
        <f>+M43+N43</f>
        <v>1993027.086746474</v>
      </c>
      <c r="P43" s="33"/>
      <c r="Q43" s="135">
        <f>(+O43/D43)*(1+CALC!$A$3)</f>
        <v>4.0426512915749981</v>
      </c>
    </row>
    <row r="44" spans="1:17" ht="12" thickBot="1" x14ac:dyDescent="0.25">
      <c r="Q44" s="21"/>
    </row>
    <row r="45" spans="1:17" ht="12" thickBot="1" x14ac:dyDescent="0.25">
      <c r="A45" s="330" t="s">
        <v>10</v>
      </c>
      <c r="B45" s="331" t="s">
        <v>148</v>
      </c>
      <c r="D45" s="542" t="s">
        <v>42</v>
      </c>
      <c r="E45" s="543"/>
      <c r="F45" s="544"/>
      <c r="Q45" s="21"/>
    </row>
    <row r="46" spans="1:17" x14ac:dyDescent="0.2">
      <c r="Q46" s="21"/>
    </row>
    <row r="47" spans="1:17" x14ac:dyDescent="0.2">
      <c r="A47" s="12" t="s">
        <v>46</v>
      </c>
      <c r="B47" s="12" t="s">
        <v>45</v>
      </c>
      <c r="C47" s="19">
        <v>54</v>
      </c>
      <c r="D47" s="8">
        <v>100</v>
      </c>
      <c r="E47" s="30">
        <f>+D47/P47*(CALC!$A$4)</f>
        <v>7500</v>
      </c>
      <c r="F47" s="13">
        <v>3000</v>
      </c>
      <c r="G47" s="13">
        <f>710*(1+CALC!$A$2)</f>
        <v>752.6</v>
      </c>
      <c r="H47" s="13">
        <f>5000*(1+CALC!$A$2)</f>
        <v>5300</v>
      </c>
      <c r="I47" s="13"/>
      <c r="J47" s="13">
        <v>0</v>
      </c>
      <c r="K47" s="13">
        <f>250*(1.05+CALC!$A$2)</f>
        <v>277.5</v>
      </c>
      <c r="L47" s="13"/>
      <c r="M47" s="13">
        <f>SUM(E47:K47)</f>
        <v>16830.099999999999</v>
      </c>
      <c r="N47" s="14">
        <f>M47/CALC!$A$8*CALC!$A$6</f>
        <v>1668.7204939487638</v>
      </c>
      <c r="O47" s="13">
        <f>SUM(M47:N47)</f>
        <v>18498.820493948762</v>
      </c>
      <c r="P47" s="31">
        <v>0.2</v>
      </c>
      <c r="Q47" s="20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1"/>
      <c r="Q48" s="21"/>
    </row>
    <row r="49" spans="1:17" s="18" customFormat="1" x14ac:dyDescent="0.2">
      <c r="A49" s="4"/>
      <c r="B49" s="4" t="s">
        <v>14</v>
      </c>
      <c r="C49" s="26"/>
      <c r="D49" s="16">
        <f t="shared" ref="D49:M49" si="7">SUM(D47:D48)</f>
        <v>100</v>
      </c>
      <c r="E49" s="14">
        <f t="shared" si="7"/>
        <v>7500</v>
      </c>
      <c r="F49" s="14">
        <f t="shared" si="7"/>
        <v>3000</v>
      </c>
      <c r="G49" s="14">
        <f t="shared" si="7"/>
        <v>752.6</v>
      </c>
      <c r="H49" s="14">
        <f t="shared" si="7"/>
        <v>5300</v>
      </c>
      <c r="I49" s="14">
        <f t="shared" si="7"/>
        <v>0</v>
      </c>
      <c r="J49" s="14">
        <f t="shared" si="7"/>
        <v>0</v>
      </c>
      <c r="K49" s="14">
        <f t="shared" si="7"/>
        <v>277.5</v>
      </c>
      <c r="L49" s="14">
        <f>SUM(L47:L48)</f>
        <v>0</v>
      </c>
      <c r="M49" s="14">
        <f t="shared" si="7"/>
        <v>16830.099999999999</v>
      </c>
      <c r="N49" s="14">
        <f>M49/CALC!$A$8*CALC!$A$6</f>
        <v>1668.7204939487638</v>
      </c>
      <c r="O49" s="14">
        <f>+M49+N49</f>
        <v>18498.820493948762</v>
      </c>
      <c r="P49" s="33"/>
      <c r="Q49" s="135">
        <f>(+O49/D49)*(1+CALC!$A$3)</f>
        <v>184.98820493948762</v>
      </c>
    </row>
    <row r="50" spans="1:17" x14ac:dyDescent="0.2">
      <c r="Q50" s="21"/>
    </row>
    <row r="51" spans="1:17" ht="12" thickBot="1" x14ac:dyDescent="0.25">
      <c r="Q51" s="21"/>
    </row>
    <row r="52" spans="1:17" ht="12" thickBot="1" x14ac:dyDescent="0.25">
      <c r="A52" s="330" t="s">
        <v>10</v>
      </c>
      <c r="B52" s="331" t="s">
        <v>149</v>
      </c>
      <c r="D52" s="542" t="s">
        <v>25</v>
      </c>
      <c r="E52" s="543"/>
      <c r="F52" s="544"/>
      <c r="Q52" s="21"/>
    </row>
    <row r="53" spans="1:17" x14ac:dyDescent="0.2">
      <c r="Q53" s="21"/>
    </row>
    <row r="54" spans="1:17" x14ac:dyDescent="0.2">
      <c r="A54" s="12" t="s">
        <v>25</v>
      </c>
      <c r="B54" s="12" t="s">
        <v>47</v>
      </c>
      <c r="C54" s="19">
        <v>133</v>
      </c>
      <c r="D54" s="8">
        <v>300</v>
      </c>
      <c r="E54" s="30">
        <f>+D54/P54*(CALC!$A$4)</f>
        <v>16666.666666666668</v>
      </c>
      <c r="F54" s="13">
        <v>3000</v>
      </c>
      <c r="G54" s="13">
        <f>6200*(1+CALC!$A$2)</f>
        <v>6572</v>
      </c>
      <c r="H54" s="13">
        <f>50000*(1+CALC!$A$2)</f>
        <v>53000</v>
      </c>
      <c r="I54" s="13"/>
      <c r="J54" s="13">
        <v>0</v>
      </c>
      <c r="K54" s="13">
        <f>250*(1.05+CALC!$A$2)</f>
        <v>277.5</v>
      </c>
      <c r="L54" s="13"/>
      <c r="M54" s="13">
        <f>SUM(E54:L54)</f>
        <v>79516.166666666672</v>
      </c>
      <c r="N54" s="14">
        <f>M54/CALC!$A$8*CALC!$A$6</f>
        <v>7884.1038922473581</v>
      </c>
      <c r="O54" s="13">
        <f>+M54+N54</f>
        <v>87400.270558914024</v>
      </c>
      <c r="P54" s="31">
        <v>0.27</v>
      </c>
      <c r="Q54" s="21"/>
    </row>
    <row r="55" spans="1:17" x14ac:dyDescent="0.2">
      <c r="A55" s="12"/>
      <c r="B55" s="12"/>
      <c r="C55" s="19"/>
      <c r="D55" s="8"/>
      <c r="E55" s="30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31"/>
      <c r="Q55" s="21"/>
    </row>
    <row r="56" spans="1:17" s="18" customFormat="1" x14ac:dyDescent="0.2">
      <c r="A56" s="4"/>
      <c r="B56" s="4" t="s">
        <v>14</v>
      </c>
      <c r="C56" s="26"/>
      <c r="D56" s="16">
        <f t="shared" ref="D56:M56" si="8">SUM(D54:D55)</f>
        <v>300</v>
      </c>
      <c r="E56" s="14">
        <f t="shared" si="8"/>
        <v>16666.666666666668</v>
      </c>
      <c r="F56" s="14">
        <f t="shared" si="8"/>
        <v>3000</v>
      </c>
      <c r="G56" s="14">
        <f t="shared" si="8"/>
        <v>6572</v>
      </c>
      <c r="H56" s="14">
        <f t="shared" si="8"/>
        <v>53000</v>
      </c>
      <c r="I56" s="14">
        <f t="shared" si="8"/>
        <v>0</v>
      </c>
      <c r="J56" s="14">
        <f t="shared" si="8"/>
        <v>0</v>
      </c>
      <c r="K56" s="14">
        <f t="shared" si="8"/>
        <v>277.5</v>
      </c>
      <c r="L56" s="14">
        <f>SUM(L54:L55)</f>
        <v>0</v>
      </c>
      <c r="M56" s="14">
        <f t="shared" si="8"/>
        <v>79516.166666666672</v>
      </c>
      <c r="N56" s="14">
        <f>M56/CALC!$A$8*CALC!$A$6</f>
        <v>7884.1038922473581</v>
      </c>
      <c r="O56" s="14">
        <f>+M56+N56</f>
        <v>87400.270558914024</v>
      </c>
      <c r="P56" s="33"/>
      <c r="Q56" s="135">
        <f>(+O56/D56)*(1+CALC!$A$3)</f>
        <v>291.33423519638006</v>
      </c>
    </row>
    <row r="57" spans="1:17" x14ac:dyDescent="0.2">
      <c r="Q57" s="21"/>
    </row>
    <row r="58" spans="1:17" s="18" customFormat="1" ht="12" thickBot="1" x14ac:dyDescent="0.25">
      <c r="A58" s="35"/>
      <c r="B58" s="35"/>
      <c r="C58" s="39"/>
      <c r="D58" s="4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51"/>
    </row>
    <row r="59" spans="1:17" ht="12" thickBot="1" x14ac:dyDescent="0.25">
      <c r="A59" s="330" t="s">
        <v>10</v>
      </c>
      <c r="B59" s="331" t="s">
        <v>486</v>
      </c>
      <c r="D59" s="542" t="s">
        <v>274</v>
      </c>
      <c r="E59" s="543"/>
      <c r="F59" s="544"/>
      <c r="Q59" s="21"/>
    </row>
    <row r="60" spans="1:17" x14ac:dyDescent="0.2">
      <c r="Q60" s="21"/>
    </row>
    <row r="61" spans="1:17" s="9" customFormat="1" x14ac:dyDescent="0.2">
      <c r="A61" s="321" t="str">
        <f>+'1-10'!C75</f>
        <v>NISSAN  UD40 - CHERRY PICKER [173]</v>
      </c>
      <c r="B61" s="134" t="str">
        <f>+'1-10'!R75</f>
        <v>CNF 628 L</v>
      </c>
      <c r="C61" s="54">
        <v>674</v>
      </c>
      <c r="D61" s="46">
        <v>8000</v>
      </c>
      <c r="E61" s="62">
        <f>+D61/P61*(CALC!$A$4)</f>
        <v>80000</v>
      </c>
      <c r="F61" s="37">
        <v>3000</v>
      </c>
      <c r="G61" s="37">
        <f>5800*(1+CALC!$A$2)</f>
        <v>6148</v>
      </c>
      <c r="H61" s="37">
        <f>30000*(1+CALC!$A$2)</f>
        <v>31800</v>
      </c>
      <c r="I61" s="37">
        <v>77893.09</v>
      </c>
      <c r="J61" s="37"/>
      <c r="K61" s="37">
        <f>2000*(1.05+CALC!$A$2)</f>
        <v>2220</v>
      </c>
      <c r="L61" s="37"/>
      <c r="M61" s="37">
        <f>SUM(E61:L61)</f>
        <v>201061.09</v>
      </c>
      <c r="N61" s="32">
        <f>M61/CALC!$A$8*CALC!$A$6</f>
        <v>19935.399160948353</v>
      </c>
      <c r="O61" s="37">
        <f>+M61+N61</f>
        <v>220996.48916094835</v>
      </c>
      <c r="P61" s="48">
        <v>1.5</v>
      </c>
      <c r="Q61" s="49"/>
    </row>
    <row r="62" spans="1:17" s="9" customFormat="1" x14ac:dyDescent="0.2">
      <c r="A62" s="321" t="str">
        <f>+'1-10'!C76</f>
        <v>NISSAN  UD40 - CHERRY PICKER [173]</v>
      </c>
      <c r="B62" s="134" t="str">
        <f>+'1-10'!R76</f>
        <v>CNF 616 L</v>
      </c>
      <c r="C62" s="54">
        <v>675</v>
      </c>
      <c r="D62" s="46">
        <v>8000</v>
      </c>
      <c r="E62" s="62">
        <f>+D62/P62*(CALC!$A$4)</f>
        <v>80000</v>
      </c>
      <c r="F62" s="37">
        <v>3000</v>
      </c>
      <c r="G62" s="37">
        <f>5800*(1+CALC!$A$2)</f>
        <v>6148</v>
      </c>
      <c r="H62" s="37">
        <f>30000*(1+CALC!$A$2)</f>
        <v>31800</v>
      </c>
      <c r="I62" s="37">
        <v>77893.09</v>
      </c>
      <c r="J62" s="37"/>
      <c r="K62" s="37">
        <f>2100*(1.05+CALC!$A$2)</f>
        <v>2331</v>
      </c>
      <c r="L62" s="37"/>
      <c r="M62" s="37">
        <f>SUM(E62:L62)</f>
        <v>201172.09</v>
      </c>
      <c r="N62" s="32">
        <f>M62/CALC!$A$8*CALC!$A$6</f>
        <v>19946.404916994266</v>
      </c>
      <c r="O62" s="37">
        <f>+M62+N62</f>
        <v>221118.49491699427</v>
      </c>
      <c r="P62" s="48">
        <v>1.5</v>
      </c>
      <c r="Q62" s="49"/>
    </row>
    <row r="63" spans="1:17" x14ac:dyDescent="0.2">
      <c r="A63" s="53"/>
      <c r="B63" s="12"/>
      <c r="C63" s="19"/>
      <c r="D63" s="8"/>
      <c r="E63" s="30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</row>
    <row r="64" spans="1:17" s="18" customFormat="1" x14ac:dyDescent="0.2">
      <c r="A64" s="4"/>
      <c r="B64" s="4" t="s">
        <v>14</v>
      </c>
      <c r="C64" s="26"/>
      <c r="D64" s="16">
        <f t="shared" ref="D64:M64" si="9">SUM(D61:D63)</f>
        <v>16000</v>
      </c>
      <c r="E64" s="14">
        <f>SUM(E61:E63)</f>
        <v>160000</v>
      </c>
      <c r="F64" s="14">
        <f t="shared" si="9"/>
        <v>6000</v>
      </c>
      <c r="G64" s="14">
        <f t="shared" si="9"/>
        <v>12296</v>
      </c>
      <c r="H64" s="14">
        <f t="shared" si="9"/>
        <v>63600</v>
      </c>
      <c r="I64" s="14">
        <f t="shared" si="9"/>
        <v>155786.18</v>
      </c>
      <c r="J64" s="14">
        <f t="shared" si="9"/>
        <v>0</v>
      </c>
      <c r="K64" s="14">
        <f t="shared" si="9"/>
        <v>4551</v>
      </c>
      <c r="L64" s="14">
        <f t="shared" si="9"/>
        <v>0</v>
      </c>
      <c r="M64" s="14">
        <f t="shared" si="9"/>
        <v>402233.18</v>
      </c>
      <c r="N64" s="14">
        <f>M64/CALC!$A$8*CALC!$A$6</f>
        <v>39881.804077942623</v>
      </c>
      <c r="O64" s="14">
        <f>+M64+N64</f>
        <v>442114.98407794262</v>
      </c>
      <c r="P64" s="33"/>
      <c r="Q64" s="135">
        <f>(+O64/D64)*(1+CALC!$A$3)</f>
        <v>27.632186504871413</v>
      </c>
    </row>
    <row r="65" spans="1:17" ht="12" thickBot="1" x14ac:dyDescent="0.25">
      <c r="D65" s="23"/>
      <c r="Q65" s="21"/>
    </row>
    <row r="66" spans="1:17" ht="12" thickBot="1" x14ac:dyDescent="0.25">
      <c r="A66" s="330" t="s">
        <v>10</v>
      </c>
      <c r="B66" s="331" t="s">
        <v>487</v>
      </c>
      <c r="D66" s="542" t="s">
        <v>281</v>
      </c>
      <c r="E66" s="543"/>
      <c r="F66" s="544"/>
      <c r="Q66" s="21"/>
    </row>
    <row r="67" spans="1:17" x14ac:dyDescent="0.2">
      <c r="E67" s="9"/>
      <c r="F67" s="9"/>
      <c r="Q67" s="21"/>
    </row>
    <row r="68" spans="1:17" s="9" customFormat="1" x14ac:dyDescent="0.2">
      <c r="A68" s="61" t="str">
        <f>+'1-10'!C83</f>
        <v>NISSAN  UD 80 C H07 [173] CRANE</v>
      </c>
      <c r="B68" s="134" t="str">
        <f>+'1-10'!R83</f>
        <v>CMN 100 L</v>
      </c>
      <c r="C68" s="54">
        <v>682</v>
      </c>
      <c r="D68" s="46">
        <v>8000</v>
      </c>
      <c r="E68" s="62">
        <f>+D68/P68*(CALC!$A$4)</f>
        <v>80000</v>
      </c>
      <c r="F68" s="37">
        <v>3000</v>
      </c>
      <c r="G68" s="37">
        <f>1800*(1+CALC!$A$2)</f>
        <v>1908</v>
      </c>
      <c r="H68" s="37">
        <f>30000*(1+CALC!$A$2)</f>
        <v>31800</v>
      </c>
      <c r="I68" s="37">
        <v>129273.15</v>
      </c>
      <c r="J68" s="37"/>
      <c r="K68" s="37">
        <f>7200*(1.05+CALC!$A$2)</f>
        <v>7992.0000000000009</v>
      </c>
      <c r="L68" s="37"/>
      <c r="M68" s="37">
        <f>SUM(E68:L68)</f>
        <v>253973.15</v>
      </c>
      <c r="N68" s="32">
        <f>M68/CALC!$A$8*CALC!$A$6</f>
        <v>25181.680460468058</v>
      </c>
      <c r="O68" s="37">
        <f>+M68+N68</f>
        <v>279154.83046046807</v>
      </c>
      <c r="P68" s="48">
        <v>1.5</v>
      </c>
      <c r="Q68" s="49"/>
    </row>
    <row r="69" spans="1:17" s="9" customFormat="1" x14ac:dyDescent="0.2">
      <c r="A69" s="61" t="str">
        <f>+'1-10'!C85</f>
        <v>NISSAN  UD 80 C H07 [173] CRANE</v>
      </c>
      <c r="B69" s="134" t="str">
        <f>+'1-10'!R85</f>
        <v>CNF 598 L</v>
      </c>
      <c r="C69" s="54">
        <v>684</v>
      </c>
      <c r="D69" s="46">
        <v>8000</v>
      </c>
      <c r="E69" s="62">
        <f>+D69/P69*(CALC!$A$4)</f>
        <v>80000</v>
      </c>
      <c r="F69" s="37">
        <v>3000</v>
      </c>
      <c r="G69" s="37">
        <f>2500*(1+CALC!$A$2)</f>
        <v>2650</v>
      </c>
      <c r="H69" s="37">
        <f>30000*(1+CALC!$A$2)</f>
        <v>31800</v>
      </c>
      <c r="I69" s="37">
        <v>140853.07</v>
      </c>
      <c r="J69" s="37"/>
      <c r="K69" s="37">
        <f>6100*(1.05+CALC!$A$2)</f>
        <v>6771.0000000000009</v>
      </c>
      <c r="L69" s="37"/>
      <c r="M69" s="37">
        <f>SUM(E69:L69)</f>
        <v>265074.07</v>
      </c>
      <c r="N69" s="32">
        <f>M69/CALC!$A$8*CALC!$A$6</f>
        <v>26282.347283938259</v>
      </c>
      <c r="O69" s="37">
        <f>+M69+N69</f>
        <v>291356.41728393827</v>
      </c>
      <c r="P69" s="48">
        <v>1.5</v>
      </c>
      <c r="Q69" s="49"/>
    </row>
    <row r="70" spans="1:17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>
        <f>+M70+N70</f>
        <v>0</v>
      </c>
      <c r="P70" s="31"/>
      <c r="Q70" s="21"/>
    </row>
    <row r="71" spans="1:17" s="18" customFormat="1" x14ac:dyDescent="0.2">
      <c r="A71" s="4"/>
      <c r="B71" s="4" t="s">
        <v>14</v>
      </c>
      <c r="C71" s="26"/>
      <c r="D71" s="16">
        <f t="shared" ref="D71:M71" si="10">SUM(D68:D70)</f>
        <v>16000</v>
      </c>
      <c r="E71" s="14">
        <f t="shared" si="10"/>
        <v>160000</v>
      </c>
      <c r="F71" s="14">
        <f t="shared" si="10"/>
        <v>6000</v>
      </c>
      <c r="G71" s="14">
        <f t="shared" si="10"/>
        <v>4558</v>
      </c>
      <c r="H71" s="14">
        <f t="shared" si="10"/>
        <v>63600</v>
      </c>
      <c r="I71" s="14">
        <f t="shared" si="10"/>
        <v>270126.21999999997</v>
      </c>
      <c r="J71" s="14">
        <f t="shared" si="10"/>
        <v>0</v>
      </c>
      <c r="K71" s="14">
        <f t="shared" si="10"/>
        <v>14763.000000000002</v>
      </c>
      <c r="L71" s="14">
        <f t="shared" si="10"/>
        <v>0</v>
      </c>
      <c r="M71" s="14">
        <f t="shared" si="10"/>
        <v>519047.22</v>
      </c>
      <c r="N71" s="14">
        <f>M71/CALC!$A$8*CALC!$A$6</f>
        <v>51464.027744406318</v>
      </c>
      <c r="O71" s="14">
        <f>+M71+N71</f>
        <v>570511.24774440634</v>
      </c>
      <c r="P71" s="33"/>
      <c r="Q71" s="135">
        <f>(+O71/D71)*(1+CALC!$A$3)</f>
        <v>35.656952984025395</v>
      </c>
    </row>
    <row r="72" spans="1:17" s="18" customFormat="1" ht="12" thickBot="1" x14ac:dyDescent="0.25">
      <c r="A72" s="35"/>
      <c r="B72" s="35"/>
      <c r="C72" s="39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51"/>
    </row>
    <row r="73" spans="1:17" ht="12" thickBot="1" x14ac:dyDescent="0.25">
      <c r="A73" s="330" t="s">
        <v>10</v>
      </c>
      <c r="B73" s="331" t="s">
        <v>488</v>
      </c>
      <c r="D73" s="542" t="s">
        <v>454</v>
      </c>
      <c r="E73" s="543"/>
      <c r="F73" s="544"/>
      <c r="Q73" s="21"/>
    </row>
    <row r="74" spans="1:17" ht="12" thickBot="1" x14ac:dyDescent="0.25">
      <c r="Q74" s="21"/>
    </row>
    <row r="75" spans="1:17" s="9" customFormat="1" ht="12" thickBot="1" x14ac:dyDescent="0.25">
      <c r="A75" s="322" t="str">
        <f>+'1-10'!C100</f>
        <v xml:space="preserve">NISSAN  UD 330WF T27 CRANE TRUCK </v>
      </c>
      <c r="B75" s="286" t="str">
        <f>+'1-10'!R100</f>
        <v>CMS 088 L</v>
      </c>
      <c r="C75" s="287" t="s">
        <v>465</v>
      </c>
      <c r="D75" s="46">
        <v>10000</v>
      </c>
      <c r="E75" s="62">
        <f>+D75/P75*(CALC!$A$4)</f>
        <v>115384.61538461539</v>
      </c>
      <c r="F75" s="37">
        <v>3000</v>
      </c>
      <c r="G75" s="37">
        <f>8500*(1+CALC!$A$2)</f>
        <v>9010</v>
      </c>
      <c r="H75" s="37">
        <f>50000*(1+CALC!$A$2)</f>
        <v>53000</v>
      </c>
      <c r="I75" s="37">
        <v>216059.08</v>
      </c>
      <c r="J75" s="37"/>
      <c r="K75" s="37">
        <f>22000*(1.05+CALC!$A$2)</f>
        <v>24420.000000000004</v>
      </c>
      <c r="L75" s="37"/>
      <c r="M75" s="37">
        <f>SUM(E75:L75)</f>
        <v>420873.69538461533</v>
      </c>
      <c r="N75" s="32">
        <f>M75/CALC!$A$8*CALC!$A$6</f>
        <v>41730.028986889978</v>
      </c>
      <c r="O75" s="37">
        <f>+M75+N75</f>
        <v>462603.72437150532</v>
      </c>
      <c r="P75" s="48">
        <v>1.3</v>
      </c>
      <c r="Q75" s="49"/>
    </row>
    <row r="76" spans="1:17" x14ac:dyDescent="0.2">
      <c r="A76" s="12"/>
      <c r="B76" s="12"/>
      <c r="C76" s="19"/>
      <c r="D76" s="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1"/>
      <c r="Q76" s="21"/>
    </row>
    <row r="77" spans="1:17" s="18" customFormat="1" x14ac:dyDescent="0.2">
      <c r="A77" s="35"/>
      <c r="B77" s="4" t="s">
        <v>14</v>
      </c>
      <c r="C77" s="26"/>
      <c r="D77" s="16">
        <f>SUM(D75:D76)</f>
        <v>10000</v>
      </c>
      <c r="E77" s="14">
        <f>SUM(E75:E76)</f>
        <v>115384.61538461539</v>
      </c>
      <c r="F77" s="14">
        <f t="shared" ref="F77:K77" si="11">SUM(F75:F76)</f>
        <v>3000</v>
      </c>
      <c r="G77" s="14">
        <f t="shared" si="11"/>
        <v>9010</v>
      </c>
      <c r="H77" s="14">
        <f t="shared" si="11"/>
        <v>53000</v>
      </c>
      <c r="I77" s="14">
        <f t="shared" si="11"/>
        <v>216059.08</v>
      </c>
      <c r="J77" s="14">
        <f t="shared" si="11"/>
        <v>0</v>
      </c>
      <c r="K77" s="14">
        <f t="shared" si="11"/>
        <v>24420.000000000004</v>
      </c>
      <c r="L77" s="14">
        <f>+L75</f>
        <v>0</v>
      </c>
      <c r="M77" s="14">
        <f>SUM(M75:M76)</f>
        <v>420873.69538461533</v>
      </c>
      <c r="N77" s="14">
        <f>M77/CALC!$A$8*CALC!$A$6</f>
        <v>41730.028986889978</v>
      </c>
      <c r="O77" s="14">
        <f>+M77+N77</f>
        <v>462603.72437150532</v>
      </c>
      <c r="P77" s="33"/>
      <c r="Q77" s="135">
        <f>(+O77/D77)*(1+CALC!$A$3)</f>
        <v>46.260372437150529</v>
      </c>
    </row>
    <row r="78" spans="1:17" s="18" customFormat="1" ht="12" thickBot="1" x14ac:dyDescent="0.25">
      <c r="A78" s="35"/>
      <c r="B78" s="35"/>
      <c r="C78" s="39"/>
      <c r="D78" s="40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51"/>
    </row>
    <row r="79" spans="1:17" ht="12" thickBot="1" x14ac:dyDescent="0.25">
      <c r="A79" s="330" t="s">
        <v>10</v>
      </c>
      <c r="B79" s="331" t="s">
        <v>150</v>
      </c>
      <c r="D79" s="542" t="s">
        <v>15</v>
      </c>
      <c r="E79" s="543"/>
      <c r="F79" s="544"/>
      <c r="Q79" s="21"/>
    </row>
    <row r="80" spans="1:17" x14ac:dyDescent="0.2">
      <c r="Q80" s="21"/>
    </row>
    <row r="81" spans="1:18" x14ac:dyDescent="0.2">
      <c r="A81" s="12" t="s">
        <v>16</v>
      </c>
      <c r="B81" s="12" t="s">
        <v>50</v>
      </c>
      <c r="C81" s="19">
        <v>56</v>
      </c>
      <c r="D81" s="8"/>
      <c r="E81" s="30"/>
      <c r="F81" s="13"/>
      <c r="G81" s="13">
        <f>710*(1+CALC!$A$2)</f>
        <v>752.6</v>
      </c>
      <c r="H81" s="13">
        <f>5000*(1+CALC!$A$2)</f>
        <v>5300</v>
      </c>
      <c r="I81" s="13"/>
      <c r="J81" s="13"/>
      <c r="K81" s="13">
        <f>250*(1.05+CALC!$A$2)</f>
        <v>277.5</v>
      </c>
      <c r="L81" s="13"/>
      <c r="M81" s="13">
        <f>SUM(E81:L81)</f>
        <v>6330.1</v>
      </c>
      <c r="N81" s="14">
        <f>M81/CALC!$A$8*CALC!$A$6</f>
        <v>627.63546257865801</v>
      </c>
      <c r="O81" s="13">
        <f>+M81+N81</f>
        <v>6957.7354625786584</v>
      </c>
      <c r="P81" s="20"/>
      <c r="Q81" s="21"/>
    </row>
    <row r="82" spans="1:18" x14ac:dyDescent="0.2">
      <c r="A82" s="12" t="s">
        <v>16</v>
      </c>
      <c r="B82" s="12" t="s">
        <v>51</v>
      </c>
      <c r="C82" s="19">
        <v>57</v>
      </c>
      <c r="D82" s="8"/>
      <c r="E82" s="30"/>
      <c r="F82" s="13"/>
      <c r="G82" s="13">
        <f>710*(1+CALC!$A$2)</f>
        <v>752.6</v>
      </c>
      <c r="H82" s="13">
        <f>5000*(1+CALC!$A$2)</f>
        <v>5300</v>
      </c>
      <c r="I82" s="13"/>
      <c r="J82" s="13"/>
      <c r="K82" s="13">
        <f>250*(1.05+CALC!$A$2)</f>
        <v>277.5</v>
      </c>
      <c r="L82" s="13"/>
      <c r="M82" s="13">
        <f t="shared" ref="M82:M87" si="12">SUM(E82:L82)</f>
        <v>6330.1</v>
      </c>
      <c r="N82" s="14">
        <f>M82/CALC!$A$8*CALC!$A$6</f>
        <v>627.63546257865801</v>
      </c>
      <c r="O82" s="13">
        <f t="shared" ref="O82:O87" si="13">+M82+N82</f>
        <v>6957.7354625786584</v>
      </c>
      <c r="P82" s="20"/>
      <c r="Q82" s="21"/>
    </row>
    <row r="83" spans="1:18" x14ac:dyDescent="0.2">
      <c r="A83" s="12" t="s">
        <v>39</v>
      </c>
      <c r="B83" s="12" t="s">
        <v>52</v>
      </c>
      <c r="C83" s="19">
        <v>58</v>
      </c>
      <c r="D83" s="8"/>
      <c r="E83" s="30"/>
      <c r="F83" s="13"/>
      <c r="G83" s="13">
        <f>710*(1+CALC!$A$2)</f>
        <v>752.6</v>
      </c>
      <c r="H83" s="13">
        <f>5000*(1+CALC!$A$2)</f>
        <v>5300</v>
      </c>
      <c r="I83" s="13"/>
      <c r="J83" s="13"/>
      <c r="K83" s="13">
        <f>250*(1.05+CALC!$A$2)</f>
        <v>277.5</v>
      </c>
      <c r="L83" s="13"/>
      <c r="M83" s="13">
        <f t="shared" si="12"/>
        <v>6330.1</v>
      </c>
      <c r="N83" s="14">
        <f>M83/CALC!$A$8*CALC!$A$6</f>
        <v>627.63546257865801</v>
      </c>
      <c r="O83" s="13">
        <f t="shared" si="13"/>
        <v>6957.7354625786584</v>
      </c>
      <c r="P83" s="20"/>
      <c r="Q83" s="21"/>
    </row>
    <row r="84" spans="1:18" x14ac:dyDescent="0.2">
      <c r="A84" s="12" t="s">
        <v>57</v>
      </c>
      <c r="B84" s="12" t="s">
        <v>53</v>
      </c>
      <c r="C84" s="19">
        <v>59</v>
      </c>
      <c r="D84" s="8"/>
      <c r="E84" s="30"/>
      <c r="F84" s="13"/>
      <c r="G84" s="13">
        <f>710*(1+CALC!$A$2)</f>
        <v>752.6</v>
      </c>
      <c r="H84" s="13">
        <f>5000*(1+CALC!$A$2)</f>
        <v>5300</v>
      </c>
      <c r="I84" s="13"/>
      <c r="J84" s="13"/>
      <c r="K84" s="13">
        <f>250*(1.05+CALC!$A$2)</f>
        <v>277.5</v>
      </c>
      <c r="L84" s="13"/>
      <c r="M84" s="13">
        <f t="shared" si="12"/>
        <v>6330.1</v>
      </c>
      <c r="N84" s="14">
        <f>M84/CALC!$A$8*CALC!$A$6</f>
        <v>627.63546257865801</v>
      </c>
      <c r="O84" s="13">
        <f t="shared" si="13"/>
        <v>6957.7354625786584</v>
      </c>
      <c r="P84" s="20"/>
      <c r="Q84" s="21"/>
    </row>
    <row r="85" spans="1:18" x14ac:dyDescent="0.2">
      <c r="A85" s="12" t="s">
        <v>58</v>
      </c>
      <c r="B85" s="12" t="s">
        <v>54</v>
      </c>
      <c r="C85" s="19">
        <v>60</v>
      </c>
      <c r="D85" s="8"/>
      <c r="E85" s="30"/>
      <c r="F85" s="13"/>
      <c r="G85" s="13">
        <f>710*(1+CALC!$A$2)</f>
        <v>752.6</v>
      </c>
      <c r="H85" s="13">
        <f>5000*(1+CALC!$A$2)</f>
        <v>5300</v>
      </c>
      <c r="I85" s="13"/>
      <c r="J85" s="13"/>
      <c r="K85" s="13">
        <f>250*(1.05+CALC!$A$2)</f>
        <v>277.5</v>
      </c>
      <c r="L85" s="13"/>
      <c r="M85" s="13">
        <f t="shared" si="12"/>
        <v>6330.1</v>
      </c>
      <c r="N85" s="14">
        <f>M85/CALC!$A$8*CALC!$A$6</f>
        <v>627.63546257865801</v>
      </c>
      <c r="O85" s="13">
        <f t="shared" si="13"/>
        <v>6957.7354625786584</v>
      </c>
      <c r="P85" s="20"/>
      <c r="Q85" s="21"/>
    </row>
    <row r="86" spans="1:18" x14ac:dyDescent="0.2">
      <c r="A86" s="12" t="s">
        <v>59</v>
      </c>
      <c r="B86" s="12" t="s">
        <v>55</v>
      </c>
      <c r="C86" s="19">
        <v>171</v>
      </c>
      <c r="D86" s="8"/>
      <c r="E86" s="30"/>
      <c r="F86" s="13"/>
      <c r="G86" s="13">
        <f>710*(1+CALC!$A$2)</f>
        <v>752.6</v>
      </c>
      <c r="H86" s="13">
        <f>5000*(1+CALC!$A$2)</f>
        <v>5300</v>
      </c>
      <c r="I86" s="13"/>
      <c r="J86" s="13"/>
      <c r="K86" s="13">
        <f>250*(1.05+CALC!$A$2)</f>
        <v>277.5</v>
      </c>
      <c r="L86" s="13"/>
      <c r="M86" s="13">
        <f t="shared" si="12"/>
        <v>6330.1</v>
      </c>
      <c r="N86" s="14">
        <f>M86/CALC!$A$8*CALC!$A$6</f>
        <v>627.63546257865801</v>
      </c>
      <c r="O86" s="13">
        <f t="shared" si="13"/>
        <v>6957.7354625786584</v>
      </c>
      <c r="P86" s="20"/>
      <c r="Q86" s="21"/>
    </row>
    <row r="87" spans="1:18" x14ac:dyDescent="0.2">
      <c r="A87" s="12" t="s">
        <v>60</v>
      </c>
      <c r="B87" s="12" t="s">
        <v>56</v>
      </c>
      <c r="C87" s="19">
        <v>172</v>
      </c>
      <c r="D87" s="8"/>
      <c r="E87" s="30"/>
      <c r="F87" s="13"/>
      <c r="G87" s="13">
        <f>710*(1+CALC!$A$2)</f>
        <v>752.6</v>
      </c>
      <c r="H87" s="13">
        <f>5000*(1+CALC!$A$2)</f>
        <v>5300</v>
      </c>
      <c r="I87" s="13">
        <v>0</v>
      </c>
      <c r="J87" s="13"/>
      <c r="K87" s="13">
        <f>250*(1.05+CALC!$A$2)</f>
        <v>277.5</v>
      </c>
      <c r="L87" s="13"/>
      <c r="M87" s="13">
        <f t="shared" si="12"/>
        <v>6330.1</v>
      </c>
      <c r="N87" s="14">
        <f>M87/CALC!$A$8*CALC!$A$6</f>
        <v>627.63546257865801</v>
      </c>
      <c r="O87" s="13">
        <f t="shared" si="13"/>
        <v>6957.7354625786584</v>
      </c>
      <c r="P87" s="20"/>
      <c r="Q87" s="21"/>
    </row>
    <row r="88" spans="1:18" x14ac:dyDescent="0.2">
      <c r="A88" s="12"/>
      <c r="B88" s="12"/>
      <c r="C88" s="19"/>
      <c r="D88" s="8"/>
      <c r="E88" s="30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20"/>
      <c r="Q88" s="21"/>
    </row>
    <row r="89" spans="1:18" s="18" customFormat="1" x14ac:dyDescent="0.2">
      <c r="A89" s="4"/>
      <c r="B89" s="4" t="s">
        <v>14</v>
      </c>
      <c r="C89" s="26"/>
      <c r="D89" s="16"/>
      <c r="E89" s="14"/>
      <c r="F89" s="14">
        <f t="shared" ref="F89:M89" si="14">SUM(F81:F88)</f>
        <v>0</v>
      </c>
      <c r="G89" s="14">
        <f t="shared" si="14"/>
        <v>5268.2000000000007</v>
      </c>
      <c r="H89" s="14">
        <f t="shared" si="14"/>
        <v>37100</v>
      </c>
      <c r="I89" s="14">
        <f t="shared" si="14"/>
        <v>0</v>
      </c>
      <c r="J89" s="14">
        <f t="shared" si="14"/>
        <v>0</v>
      </c>
      <c r="K89" s="14">
        <f t="shared" si="14"/>
        <v>1942.5</v>
      </c>
      <c r="L89" s="14"/>
      <c r="M89" s="14">
        <f t="shared" si="14"/>
        <v>44310.7</v>
      </c>
      <c r="N89" s="14">
        <f>M89/CALC!$A$8*CALC!$A$6</f>
        <v>4393.4482380506051</v>
      </c>
      <c r="O89" s="14">
        <f>+M89+N89</f>
        <v>48704.148238050606</v>
      </c>
      <c r="P89" s="41"/>
      <c r="Q89" s="36"/>
    </row>
    <row r="90" spans="1:18" x14ac:dyDescent="0.2">
      <c r="Q90" s="21"/>
    </row>
    <row r="91" spans="1:18" ht="12" thickBot="1" x14ac:dyDescent="0.25">
      <c r="Q91" s="21"/>
    </row>
    <row r="92" spans="1:18" s="18" customFormat="1" ht="12" thickBot="1" x14ac:dyDescent="0.25">
      <c r="A92" s="18" t="s">
        <v>105</v>
      </c>
      <c r="B92" s="73" t="s">
        <v>14</v>
      </c>
      <c r="C92" s="74"/>
      <c r="D92" s="75">
        <f t="shared" ref="D92:P92" si="15">+D9+D24+D43+D49+D56+D64+D71+D89+D77</f>
        <v>688400</v>
      </c>
      <c r="E92" s="76">
        <f t="shared" si="15"/>
        <v>2341815.7686198787</v>
      </c>
      <c r="F92" s="76">
        <f>+F9+F24+F43+F49+F56+F64+F71+F89+F77</f>
        <v>96000</v>
      </c>
      <c r="G92" s="76">
        <f t="shared" si="15"/>
        <v>190113.94680000003</v>
      </c>
      <c r="H92" s="76">
        <f t="shared" si="15"/>
        <v>559680</v>
      </c>
      <c r="I92" s="76">
        <f t="shared" si="15"/>
        <v>2082826.9300000002</v>
      </c>
      <c r="J92" s="76">
        <f t="shared" si="15"/>
        <v>0</v>
      </c>
      <c r="K92" s="76">
        <f t="shared" si="15"/>
        <v>70512.75</v>
      </c>
      <c r="L92" s="76">
        <f t="shared" si="15"/>
        <v>0</v>
      </c>
      <c r="M92" s="76">
        <f t="shared" si="15"/>
        <v>5340949.395419878</v>
      </c>
      <c r="N92" s="76">
        <f t="shared" si="15"/>
        <v>529560.23513112892</v>
      </c>
      <c r="O92" s="76">
        <f t="shared" si="15"/>
        <v>5870509.6305510076</v>
      </c>
      <c r="P92" s="76">
        <f t="shared" si="15"/>
        <v>0</v>
      </c>
      <c r="Q92" s="34"/>
      <c r="R92" s="45"/>
    </row>
    <row r="93" spans="1:18" x14ac:dyDescent="0.2">
      <c r="Q93" s="21"/>
    </row>
    <row r="94" spans="1:18" x14ac:dyDescent="0.2">
      <c r="Q94" s="21"/>
    </row>
    <row r="95" spans="1:18" x14ac:dyDescent="0.2">
      <c r="D95" s="17">
        <f>+D9+D24+D43+D49+D56+D64+D71+D77</f>
        <v>688400</v>
      </c>
      <c r="E95" s="17">
        <f t="shared" ref="E95" si="16">+E9+E24+E43+E49+E56+E64+E71+E77</f>
        <v>2341815.7686198787</v>
      </c>
      <c r="F95" s="17">
        <f>+F49+F56+F89</f>
        <v>6000</v>
      </c>
      <c r="G95" s="17">
        <f>+G9+G24+G43+G49+G56+G64+G71+G77+G89</f>
        <v>190113.94680000003</v>
      </c>
      <c r="H95" s="17">
        <f>+H9+H24+H43+H49+H56+H64+H71+H77+H89</f>
        <v>559680</v>
      </c>
      <c r="I95" s="17">
        <f>+I9+I24+I43+I49+I56+I64+I71+I77+I89</f>
        <v>2082826.9300000002</v>
      </c>
      <c r="J95" s="17">
        <f>+J9+J24+J43+J49+J56+J64+J71+J77+J89</f>
        <v>0</v>
      </c>
      <c r="K95" s="17">
        <f>+K9+K24+K43+K49+K56+K64+K71+K77+K89</f>
        <v>70512.75</v>
      </c>
      <c r="L95" s="17">
        <f t="shared" ref="L95:O95" si="17">+L9+L24+L43+L49+L56+L64+L71+L77+L89</f>
        <v>0</v>
      </c>
      <c r="M95" s="17">
        <f t="shared" si="17"/>
        <v>5340949.395419878</v>
      </c>
      <c r="N95" s="17">
        <f t="shared" si="17"/>
        <v>529560.23513112892</v>
      </c>
      <c r="O95" s="17">
        <f t="shared" si="17"/>
        <v>5870509.6305510076</v>
      </c>
      <c r="Q95" s="21"/>
    </row>
    <row r="96" spans="1:18" x14ac:dyDescent="0.2">
      <c r="Q96" s="21"/>
    </row>
    <row r="97" spans="17:17" x14ac:dyDescent="0.2">
      <c r="Q97" s="21"/>
    </row>
    <row r="98" spans="17:17" x14ac:dyDescent="0.2">
      <c r="Q98" s="21"/>
    </row>
    <row r="99" spans="17:17" x14ac:dyDescent="0.2">
      <c r="Q99" s="21"/>
    </row>
    <row r="100" spans="17:17" x14ac:dyDescent="0.2">
      <c r="Q100" s="21"/>
    </row>
    <row r="101" spans="17:17" x14ac:dyDescent="0.2">
      <c r="Q101" s="21"/>
    </row>
    <row r="102" spans="17:17" x14ac:dyDescent="0.2">
      <c r="Q102" s="21"/>
    </row>
    <row r="103" spans="17:17" x14ac:dyDescent="0.2">
      <c r="Q103" s="21"/>
    </row>
    <row r="104" spans="17:17" x14ac:dyDescent="0.2">
      <c r="Q104" s="21"/>
    </row>
    <row r="105" spans="17:17" x14ac:dyDescent="0.2">
      <c r="Q105" s="21"/>
    </row>
    <row r="106" spans="17:17" x14ac:dyDescent="0.2">
      <c r="Q106" s="21"/>
    </row>
    <row r="107" spans="17:17" x14ac:dyDescent="0.2">
      <c r="Q107" s="21"/>
    </row>
    <row r="108" spans="17:17" x14ac:dyDescent="0.2">
      <c r="Q108" s="21"/>
    </row>
    <row r="109" spans="17:17" x14ac:dyDescent="0.2">
      <c r="Q109" s="21"/>
    </row>
    <row r="110" spans="17:17" x14ac:dyDescent="0.2">
      <c r="Q110" s="21"/>
    </row>
    <row r="111" spans="17:17" x14ac:dyDescent="0.2">
      <c r="Q111" s="21"/>
    </row>
    <row r="112" spans="17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6:17" x14ac:dyDescent="0.2">
      <c r="Q129" s="21"/>
    </row>
    <row r="130" spans="6:17" x14ac:dyDescent="0.2">
      <c r="Q130" s="21"/>
    </row>
    <row r="131" spans="6:17" x14ac:dyDescent="0.2">
      <c r="Q131" s="21"/>
    </row>
    <row r="132" spans="6:17" x14ac:dyDescent="0.2">
      <c r="Q132" s="21"/>
    </row>
    <row r="133" spans="6:17" x14ac:dyDescent="0.2">
      <c r="Q133" s="21"/>
    </row>
    <row r="134" spans="6:17" x14ac:dyDescent="0.2">
      <c r="Q134" s="21"/>
    </row>
    <row r="135" spans="6:17" x14ac:dyDescent="0.2">
      <c r="Q135" s="21"/>
    </row>
    <row r="136" spans="6:17" x14ac:dyDescent="0.2">
      <c r="Q136" s="21"/>
    </row>
    <row r="137" spans="6:17" x14ac:dyDescent="0.2">
      <c r="Q137" s="21"/>
    </row>
    <row r="138" spans="6:17" x14ac:dyDescent="0.2">
      <c r="F138" s="2">
        <f>SUM(F129:F137)</f>
        <v>0</v>
      </c>
      <c r="Q138" s="21"/>
    </row>
    <row r="139" spans="6:17" x14ac:dyDescent="0.2">
      <c r="Q139" s="21"/>
    </row>
    <row r="140" spans="6:17" x14ac:dyDescent="0.2">
      <c r="Q140" s="21"/>
    </row>
    <row r="141" spans="6:17" x14ac:dyDescent="0.2">
      <c r="Q141" s="21"/>
    </row>
    <row r="142" spans="6:17" x14ac:dyDescent="0.2">
      <c r="Q142" s="21"/>
    </row>
    <row r="143" spans="6:17" x14ac:dyDescent="0.2">
      <c r="Q143" s="21"/>
    </row>
    <row r="144" spans="6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</sheetData>
  <customSheetViews>
    <customSheetView guid="{6DF61089-79B2-41AA-A0E5-3D263EEF5CE4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9">
    <mergeCell ref="D5:F5"/>
    <mergeCell ref="D66:F66"/>
    <mergeCell ref="D11:F11"/>
    <mergeCell ref="D79:F79"/>
    <mergeCell ref="D27:F27"/>
    <mergeCell ref="D45:F45"/>
    <mergeCell ref="D52:F52"/>
    <mergeCell ref="D59:F59"/>
    <mergeCell ref="D73:F7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D44" activePane="bottomRight" state="frozen"/>
      <selection pane="topRight" activeCell="D1" sqref="D1"/>
      <selection pane="bottomLeft" activeCell="A4" sqref="A4"/>
      <selection pane="bottomRight" activeCell="J55" sqref="J55"/>
    </sheetView>
  </sheetViews>
  <sheetFormatPr defaultColWidth="9.140625" defaultRowHeight="11.25" x14ac:dyDescent="0.2"/>
  <cols>
    <col min="1" max="1" width="28.140625" style="2" bestFit="1" customWidth="1"/>
    <col min="2" max="2" width="14" style="2" bestFit="1" customWidth="1"/>
    <col min="3" max="3" width="4.42578125" style="6" bestFit="1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1.28515625" style="2" bestFit="1" customWidth="1"/>
    <col min="15" max="15" width="14" style="2" bestFit="1" customWidth="1"/>
    <col min="16" max="16" width="7.85546875" style="15" bestFit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 x14ac:dyDescent="0.2">
      <c r="A1" s="18" t="s">
        <v>1499</v>
      </c>
      <c r="D1" s="17" t="s">
        <v>21</v>
      </c>
    </row>
    <row r="3" spans="1:17" ht="25.5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193</v>
      </c>
      <c r="F3" s="343" t="s">
        <v>1503</v>
      </c>
      <c r="G3" s="343" t="s">
        <v>179</v>
      </c>
      <c r="H3" s="343" t="s">
        <v>195</v>
      </c>
      <c r="I3" s="343" t="s">
        <v>185</v>
      </c>
      <c r="J3" s="343" t="s">
        <v>186</v>
      </c>
      <c r="K3" s="343" t="s">
        <v>182</v>
      </c>
      <c r="L3" s="340" t="str">
        <f>+mayor!L3</f>
        <v>INTEREST</v>
      </c>
      <c r="M3" s="340" t="s">
        <v>12</v>
      </c>
      <c r="N3" s="343" t="s">
        <v>194</v>
      </c>
      <c r="O3" s="343" t="s">
        <v>183</v>
      </c>
      <c r="P3" s="346" t="s">
        <v>86</v>
      </c>
      <c r="Q3" s="347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489</v>
      </c>
      <c r="D5" s="542" t="s">
        <v>258</v>
      </c>
      <c r="E5" s="543"/>
      <c r="F5" s="544"/>
    </row>
    <row r="6" spans="1:17" x14ac:dyDescent="0.2">
      <c r="Q6" s="21"/>
    </row>
    <row r="7" spans="1:17" s="9" customFormat="1" x14ac:dyDescent="0.2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90854.572713643181</v>
      </c>
      <c r="F7" s="37">
        <v>3000</v>
      </c>
      <c r="G7" s="37">
        <f>5481.62*(1+CALC!$A$2)</f>
        <v>5810.5172000000002</v>
      </c>
      <c r="H7" s="37">
        <f>6000*(1+CALC!$A$2)</f>
        <v>6360</v>
      </c>
      <c r="I7" s="37">
        <v>35367.65</v>
      </c>
      <c r="J7" s="37"/>
      <c r="K7" s="37">
        <f>500*(1.05+CALC!$A$2)</f>
        <v>555</v>
      </c>
      <c r="L7" s="37"/>
      <c r="M7" s="37">
        <f>SUM(E7:L7)</f>
        <v>141947.73991364319</v>
      </c>
      <c r="N7" s="32">
        <f>M7/CALC!$A$8*CALC!$A$6</f>
        <v>14074.254024848655</v>
      </c>
      <c r="O7" s="37">
        <f>+M7+N7</f>
        <v>156021.99393849185</v>
      </c>
      <c r="P7" s="48">
        <v>6.67</v>
      </c>
      <c r="Q7" s="49"/>
    </row>
    <row r="8" spans="1:17" s="9" customFormat="1" x14ac:dyDescent="0.2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22713.643178410795</v>
      </c>
      <c r="F8" s="37">
        <v>3000</v>
      </c>
      <c r="G8" s="37">
        <f>5481.62*(1+CALC!$A$2)</f>
        <v>5810.5172000000002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>SUM(E8:L8)</f>
        <v>73806.810378410795</v>
      </c>
      <c r="N8" s="32">
        <f>M8/CALC!$A$8*CALC!$A$6</f>
        <v>7318.0157617271689</v>
      </c>
      <c r="O8" s="37">
        <f>+M8+N8</f>
        <v>81124.826140137971</v>
      </c>
      <c r="P8" s="48">
        <v>6.67</v>
      </c>
      <c r="Q8" s="49"/>
    </row>
    <row r="9" spans="1:17" s="10" customFormat="1" x14ac:dyDescent="0.2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113568.21589205398</v>
      </c>
      <c r="F9" s="32">
        <f t="shared" si="0"/>
        <v>6000</v>
      </c>
      <c r="G9" s="32">
        <f t="shared" si="0"/>
        <v>11621.0344</v>
      </c>
      <c r="H9" s="32">
        <f t="shared" si="0"/>
        <v>12720</v>
      </c>
      <c r="I9" s="32">
        <f t="shared" si="0"/>
        <v>70735.3</v>
      </c>
      <c r="J9" s="32">
        <f t="shared" si="0"/>
        <v>0</v>
      </c>
      <c r="K9" s="32">
        <f t="shared" si="0"/>
        <v>1110</v>
      </c>
      <c r="L9" s="32">
        <f>+L7+L8</f>
        <v>0</v>
      </c>
      <c r="M9" s="32">
        <f>SUM(M7:M8)</f>
        <v>215754.55029205399</v>
      </c>
      <c r="N9" s="32">
        <f>SUM(N7:N8)</f>
        <v>21392.269786575824</v>
      </c>
      <c r="O9" s="32">
        <f>SUM(O7:O8)</f>
        <v>237146.82007862983</v>
      </c>
      <c r="P9" s="50"/>
      <c r="Q9" s="362">
        <f>(+O9/D9)*(1+CALC!$A$3)</f>
        <v>4.7429364015725968</v>
      </c>
    </row>
    <row r="10" spans="1:17" ht="12" thickBot="1" x14ac:dyDescent="0.25">
      <c r="Q10" s="21"/>
    </row>
    <row r="11" spans="1:17" ht="12" thickBot="1" x14ac:dyDescent="0.25">
      <c r="A11" s="330" t="s">
        <v>10</v>
      </c>
      <c r="B11" s="331" t="s">
        <v>490</v>
      </c>
      <c r="D11" s="542" t="s">
        <v>285</v>
      </c>
      <c r="E11" s="543"/>
      <c r="F11" s="544"/>
      <c r="Q11" s="21"/>
    </row>
    <row r="12" spans="1:17" x14ac:dyDescent="0.2">
      <c r="Q12" s="21"/>
    </row>
    <row r="13" spans="1:17" s="9" customFormat="1" x14ac:dyDescent="0.2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79207.920792079196</v>
      </c>
      <c r="F13" s="37">
        <v>3000</v>
      </c>
      <c r="G13" s="37">
        <f>5481.62*(1+CALC!$A$2)</f>
        <v>5810.5172000000002</v>
      </c>
      <c r="H13" s="37">
        <f>6000*(1+CALC!$A$2)</f>
        <v>6360</v>
      </c>
      <c r="I13" s="37">
        <v>49444.65</v>
      </c>
      <c r="J13" s="37"/>
      <c r="K13" s="37">
        <f>500*(1.05+CALC!$A$2)</f>
        <v>555</v>
      </c>
      <c r="L13" s="37"/>
      <c r="M13" s="37">
        <f>SUM(E13:L13)</f>
        <v>144378.08799207921</v>
      </c>
      <c r="N13" s="37">
        <f>M13/CALC!$A$8*CALC!$A$6</f>
        <v>14315.225358703781</v>
      </c>
      <c r="O13" s="37">
        <f>+M13+N13</f>
        <v>158693.31335078299</v>
      </c>
      <c r="P13" s="48">
        <v>9.09</v>
      </c>
      <c r="Q13" s="49"/>
    </row>
    <row r="14" spans="1:17" s="9" customFormat="1" x14ac:dyDescent="0.2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106166.66666666669</v>
      </c>
      <c r="F14" s="37">
        <v>3000</v>
      </c>
      <c r="G14" s="37">
        <f>5481.62*(1+CALC!$A$2)</f>
        <v>5810.5172000000002</v>
      </c>
      <c r="H14" s="37">
        <f>6000*(1+CALC!$A$2)</f>
        <v>6360</v>
      </c>
      <c r="I14" s="37">
        <v>49444.65</v>
      </c>
      <c r="J14" s="37"/>
      <c r="K14" s="37">
        <f>500*(1.05+CALC!$A$2)</f>
        <v>555</v>
      </c>
      <c r="L14" s="37"/>
      <c r="M14" s="37">
        <f>SUM(E14:L14)</f>
        <v>171336.83386666668</v>
      </c>
      <c r="N14" s="37">
        <f>M14/CALC!$A$8*CALC!$A$6</f>
        <v>16988.210767707937</v>
      </c>
      <c r="O14" s="37">
        <f>+M14+N14</f>
        <v>188325.04463437462</v>
      </c>
      <c r="P14" s="48">
        <v>9.09</v>
      </c>
      <c r="Q14" s="49"/>
    </row>
    <row r="15" spans="1:17" s="9" customFormat="1" x14ac:dyDescent="0.2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16666.666666666668</v>
      </c>
      <c r="F15" s="37">
        <v>3000</v>
      </c>
      <c r="G15" s="37">
        <f>5481.62*(1+CALC!$A$2)</f>
        <v>5810.5172000000002</v>
      </c>
      <c r="H15" s="37">
        <f>6000*(1+CALC!$A$2)</f>
        <v>6360</v>
      </c>
      <c r="I15" s="37">
        <v>49444.75</v>
      </c>
      <c r="J15" s="37"/>
      <c r="K15" s="37">
        <f>500*(1.05+CALC!$A$2)</f>
        <v>555</v>
      </c>
      <c r="L15" s="37"/>
      <c r="M15" s="37">
        <f>SUM(E15:L15)</f>
        <v>81836.933866666659</v>
      </c>
      <c r="N15" s="37">
        <f>M15/CALC!$A$8*CALC!$A$6</f>
        <v>8114.2101773154245</v>
      </c>
      <c r="O15" s="37">
        <f>+M15+N15</f>
        <v>89951.144043982087</v>
      </c>
      <c r="P15" s="48">
        <v>9.09</v>
      </c>
      <c r="Q15" s="49"/>
    </row>
    <row r="16" spans="1:17" s="10" customFormat="1" x14ac:dyDescent="0.2">
      <c r="A16" s="63"/>
      <c r="B16" s="3" t="s">
        <v>14</v>
      </c>
      <c r="C16" s="136"/>
      <c r="D16" s="137">
        <f>+D13+D14+D15</f>
        <v>113700</v>
      </c>
      <c r="E16" s="32">
        <f>+E13+E14+E15</f>
        <v>202041.25412541252</v>
      </c>
      <c r="F16" s="32">
        <f t="shared" ref="F16:O16" si="1">+F13+F14+F15</f>
        <v>9000</v>
      </c>
      <c r="G16" s="32">
        <f t="shared" si="1"/>
        <v>17431.551599999999</v>
      </c>
      <c r="H16" s="32">
        <f t="shared" si="1"/>
        <v>19080</v>
      </c>
      <c r="I16" s="32">
        <f t="shared" si="1"/>
        <v>148334.04999999999</v>
      </c>
      <c r="J16" s="32">
        <f t="shared" si="1"/>
        <v>0</v>
      </c>
      <c r="K16" s="32">
        <f t="shared" si="1"/>
        <v>1665</v>
      </c>
      <c r="L16" s="32">
        <f t="shared" si="1"/>
        <v>0</v>
      </c>
      <c r="M16" s="32">
        <f t="shared" si="1"/>
        <v>397551.85572541249</v>
      </c>
      <c r="N16" s="32">
        <f t="shared" si="1"/>
        <v>39417.646303727146</v>
      </c>
      <c r="O16" s="32">
        <f t="shared" si="1"/>
        <v>436969.50202913972</v>
      </c>
      <c r="P16" s="50"/>
      <c r="Q16" s="362">
        <f>(+O16/D16)*(1+CALC!$A$3)</f>
        <v>3.8431794373715014</v>
      </c>
    </row>
    <row r="17" spans="1:17" ht="12" thickBot="1" x14ac:dyDescent="0.25">
      <c r="Q17" s="21"/>
    </row>
    <row r="18" spans="1:17" ht="12" thickBot="1" x14ac:dyDescent="0.25">
      <c r="A18" s="330" t="s">
        <v>10</v>
      </c>
      <c r="B18" s="331" t="s">
        <v>491</v>
      </c>
      <c r="D18" s="542" t="s">
        <v>685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64285.714285714283</v>
      </c>
      <c r="F20" s="37">
        <v>3000</v>
      </c>
      <c r="G20" s="37">
        <f>9000*(1+CALC!$A$2)</f>
        <v>9540</v>
      </c>
      <c r="H20" s="37">
        <f>9000*(1+CALC!$A$2)</f>
        <v>9540</v>
      </c>
      <c r="I20" s="37">
        <v>37561.589999999997</v>
      </c>
      <c r="J20" s="37"/>
      <c r="K20" s="37">
        <f>800*(1.05+CALC!$A$2)</f>
        <v>888.00000000000011</v>
      </c>
      <c r="L20" s="37"/>
      <c r="M20" s="37">
        <f>SUM(E20:L20)</f>
        <v>124815.30428571429</v>
      </c>
      <c r="N20" s="37">
        <f>M20/CALC!$A$8*CALC!$A$6</f>
        <v>12375.55666454878</v>
      </c>
      <c r="O20" s="37">
        <f>+M20+N20</f>
        <v>137190.86095026307</v>
      </c>
      <c r="P20" s="48">
        <v>7</v>
      </c>
      <c r="Q20" s="49"/>
    </row>
    <row r="21" spans="1:17" s="9" customFormat="1" x14ac:dyDescent="0.2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21428.571428571431</v>
      </c>
      <c r="F21" s="37">
        <v>3000</v>
      </c>
      <c r="G21" s="37">
        <f>9000*(1+CALC!$A$2)</f>
        <v>9540</v>
      </c>
      <c r="H21" s="37">
        <f>9000*(1+CALC!$A$2)</f>
        <v>9540</v>
      </c>
      <c r="I21" s="37">
        <v>35390.980000000003</v>
      </c>
      <c r="J21" s="37"/>
      <c r="K21" s="37">
        <f>800*(1.05+CALC!$A$2)</f>
        <v>888.00000000000011</v>
      </c>
      <c r="L21" s="37"/>
      <c r="M21" s="37">
        <f>SUM(E21:L21)</f>
        <v>79787.551428571431</v>
      </c>
      <c r="N21" s="37">
        <f>M21/CALC!$A$8*CALC!$A$6</f>
        <v>7911.0119506626888</v>
      </c>
      <c r="O21" s="37">
        <f>+M21+N21</f>
        <v>87698.563379234125</v>
      </c>
      <c r="P21" s="48">
        <v>7</v>
      </c>
      <c r="Q21" s="49"/>
    </row>
    <row r="22" spans="1:17" s="9" customFormat="1" x14ac:dyDescent="0.2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21428.571428571431</v>
      </c>
      <c r="F22" s="37">
        <v>3000</v>
      </c>
      <c r="G22" s="37">
        <f>9000*(1+CALC!$A$2)</f>
        <v>9540</v>
      </c>
      <c r="H22" s="37">
        <f>9000*(1+CALC!$A$2)</f>
        <v>9540</v>
      </c>
      <c r="I22" s="37">
        <v>35390.980000000003</v>
      </c>
      <c r="J22" s="37"/>
      <c r="K22" s="37">
        <f>800*(1.05+CALC!$A$2)</f>
        <v>888.00000000000011</v>
      </c>
      <c r="L22" s="37"/>
      <c r="M22" s="37">
        <f>SUM(E22:L22)</f>
        <v>79787.551428571431</v>
      </c>
      <c r="N22" s="37">
        <f>M22/CALC!$A$8*CALC!$A$6</f>
        <v>7911.0119506626888</v>
      </c>
      <c r="O22" s="37">
        <f>+M22+N22</f>
        <v>87698.563379234125</v>
      </c>
      <c r="P22" s="48">
        <v>7</v>
      </c>
      <c r="Q22" s="49"/>
    </row>
    <row r="23" spans="1:17" s="18" customFormat="1" x14ac:dyDescent="0.2">
      <c r="A23" s="35"/>
      <c r="B23" s="4" t="s">
        <v>14</v>
      </c>
      <c r="C23" s="26"/>
      <c r="D23" s="16">
        <f>+D20+D21+D22</f>
        <v>50000</v>
      </c>
      <c r="E23" s="14">
        <f>+E20+E21+E22</f>
        <v>107142.85714285714</v>
      </c>
      <c r="F23" s="14">
        <f t="shared" ref="F23:O23" si="2">+F20+F21+F22</f>
        <v>9000</v>
      </c>
      <c r="G23" s="14">
        <f t="shared" si="2"/>
        <v>28620</v>
      </c>
      <c r="H23" s="14">
        <f t="shared" si="2"/>
        <v>28620</v>
      </c>
      <c r="I23" s="14">
        <f t="shared" si="2"/>
        <v>108343.55000000002</v>
      </c>
      <c r="J23" s="14">
        <f t="shared" si="2"/>
        <v>0</v>
      </c>
      <c r="K23" s="14">
        <f t="shared" si="2"/>
        <v>2664.0000000000005</v>
      </c>
      <c r="L23" s="32">
        <f t="shared" si="2"/>
        <v>0</v>
      </c>
      <c r="M23" s="14">
        <f t="shared" si="2"/>
        <v>284390.40714285715</v>
      </c>
      <c r="N23" s="14">
        <f t="shared" si="2"/>
        <v>28197.580565874159</v>
      </c>
      <c r="O23" s="14">
        <f t="shared" si="2"/>
        <v>312587.98770873132</v>
      </c>
      <c r="P23" s="33"/>
      <c r="Q23" s="135">
        <f>(+O23/D23)*(1+CALC!$A$3)</f>
        <v>6.2517597541746266</v>
      </c>
    </row>
    <row r="24" spans="1:17" ht="12" thickBot="1" x14ac:dyDescent="0.25">
      <c r="Q24" s="21"/>
    </row>
    <row r="25" spans="1:17" ht="12" thickBot="1" x14ac:dyDescent="0.25">
      <c r="A25" s="330" t="s">
        <v>10</v>
      </c>
      <c r="B25" s="331" t="s">
        <v>492</v>
      </c>
      <c r="D25" s="542" t="s">
        <v>686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97500</v>
      </c>
      <c r="F27" s="37">
        <v>3000</v>
      </c>
      <c r="G27" s="37">
        <f>6057.27*(1+CALC!$A$2)</f>
        <v>6420.7062000000005</v>
      </c>
      <c r="H27" s="37">
        <f>15000*(1+CALC!$A$2)</f>
        <v>15900</v>
      </c>
      <c r="I27" s="37">
        <v>65684.39</v>
      </c>
      <c r="J27" s="37"/>
      <c r="K27" s="37">
        <f>1400*(1.05+CALC!$A$2)</f>
        <v>1554.0000000000002</v>
      </c>
      <c r="L27" s="37"/>
      <c r="M27" s="37">
        <f>SUM(E27:L27)</f>
        <v>190059.0962</v>
      </c>
      <c r="N27" s="37">
        <f>M27/CALC!$A$8*CALC!$A$6</f>
        <v>18844.540964719145</v>
      </c>
      <c r="O27" s="37">
        <f>+M27+N27</f>
        <v>208903.63716471914</v>
      </c>
      <c r="P27" s="48">
        <v>2</v>
      </c>
      <c r="Q27" s="49"/>
    </row>
    <row r="28" spans="1:17" s="9" customFormat="1" x14ac:dyDescent="0.2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60000</v>
      </c>
      <c r="F28" s="37">
        <v>3000</v>
      </c>
      <c r="G28" s="37">
        <f>6057.27*(1+CALC!$A$2)</f>
        <v>6420.7062000000005</v>
      </c>
      <c r="H28" s="37">
        <f>15000*(1+CALC!$A$2)</f>
        <v>15900</v>
      </c>
      <c r="I28" s="37">
        <v>65684.39</v>
      </c>
      <c r="J28" s="37"/>
      <c r="K28" s="37">
        <f>1400*(1.05+CALC!$A$2)</f>
        <v>1554.0000000000002</v>
      </c>
      <c r="L28" s="37"/>
      <c r="M28" s="37">
        <f>SUM(E28:L28)</f>
        <v>152559.0962</v>
      </c>
      <c r="N28" s="37">
        <f>M28/CALC!$A$8*CALC!$A$6</f>
        <v>15126.380138397335</v>
      </c>
      <c r="O28" s="37">
        <f>+M28+N28</f>
        <v>167685.47633839733</v>
      </c>
      <c r="P28" s="48">
        <v>2</v>
      </c>
      <c r="Q28" s="49"/>
    </row>
    <row r="29" spans="1:17" s="9" customFormat="1" x14ac:dyDescent="0.2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60000</v>
      </c>
      <c r="F29" s="37">
        <v>3000</v>
      </c>
      <c r="G29" s="37">
        <f>6057.27*(1+CALC!$A$2)</f>
        <v>6420.7062000000005</v>
      </c>
      <c r="H29" s="37">
        <f>15000*(1+CALC!$A$2)</f>
        <v>15900</v>
      </c>
      <c r="I29" s="37">
        <v>65684.39</v>
      </c>
      <c r="J29" s="37"/>
      <c r="K29" s="37">
        <f>1400*(1.05+CALC!$A$2)</f>
        <v>1554.0000000000002</v>
      </c>
      <c r="L29" s="37"/>
      <c r="M29" s="37">
        <f>SUM(E29:L29)</f>
        <v>152559.0962</v>
      </c>
      <c r="N29" s="37">
        <f>M29/CALC!$A$8*CALC!$A$6</f>
        <v>15126.380138397335</v>
      </c>
      <c r="O29" s="37">
        <f>+M29+N29</f>
        <v>167685.47633839733</v>
      </c>
      <c r="P29" s="48">
        <v>2</v>
      </c>
      <c r="Q29" s="49"/>
    </row>
    <row r="30" spans="1:17" s="9" customFormat="1" x14ac:dyDescent="0.2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90000</v>
      </c>
      <c r="F30" s="37">
        <v>3000</v>
      </c>
      <c r="G30" s="37">
        <f>6057.27*(1+CALC!$A$2)</f>
        <v>6420.7062000000005</v>
      </c>
      <c r="H30" s="37">
        <f>15000*(1+CALC!$A$2)</f>
        <v>15900</v>
      </c>
      <c r="I30" s="37">
        <v>65684.39</v>
      </c>
      <c r="J30" s="37"/>
      <c r="K30" s="37">
        <f>1400*(1.05+CALC!$A$2)</f>
        <v>1554.0000000000002</v>
      </c>
      <c r="L30" s="37"/>
      <c r="M30" s="37">
        <f>SUM(E30:L30)</f>
        <v>182559.0962</v>
      </c>
      <c r="N30" s="37">
        <f>M30/CALC!$A$8*CALC!$A$6</f>
        <v>18100.908799454784</v>
      </c>
      <c r="O30" s="37">
        <f>+M30+N30</f>
        <v>200660.00499945477</v>
      </c>
      <c r="P30" s="48">
        <v>2</v>
      </c>
      <c r="Q30" s="49"/>
    </row>
    <row r="31" spans="1:17" s="18" customFormat="1" x14ac:dyDescent="0.2">
      <c r="A31" s="35"/>
      <c r="B31" s="4" t="s">
        <v>14</v>
      </c>
      <c r="C31" s="26"/>
      <c r="D31" s="16">
        <f>+D27+D28+D29+D30</f>
        <v>41000</v>
      </c>
      <c r="E31" s="14">
        <f>+E27+E28+E29+E30</f>
        <v>307500</v>
      </c>
      <c r="F31" s="14">
        <f t="shared" ref="F31:O31" si="3">+F27+F28+F29+F30</f>
        <v>12000</v>
      </c>
      <c r="G31" s="14">
        <f t="shared" si="3"/>
        <v>25682.824800000002</v>
      </c>
      <c r="H31" s="14">
        <f t="shared" si="3"/>
        <v>63600</v>
      </c>
      <c r="I31" s="14">
        <f t="shared" si="3"/>
        <v>262737.56</v>
      </c>
      <c r="J31" s="14">
        <f t="shared" si="3"/>
        <v>0</v>
      </c>
      <c r="K31" s="14">
        <f t="shared" si="3"/>
        <v>6216.0000000000009</v>
      </c>
      <c r="L31" s="14">
        <f t="shared" si="3"/>
        <v>0</v>
      </c>
      <c r="M31" s="14">
        <f t="shared" si="3"/>
        <v>677736.3848</v>
      </c>
      <c r="N31" s="14">
        <f t="shared" si="3"/>
        <v>67198.210040968595</v>
      </c>
      <c r="O31" s="14">
        <f t="shared" si="3"/>
        <v>744934.59484096849</v>
      </c>
      <c r="P31" s="33"/>
      <c r="Q31" s="135">
        <f>(+O31/D31)*(1+CALC!$A$3)</f>
        <v>18.169136459535817</v>
      </c>
    </row>
    <row r="32" spans="1:17" ht="12" thickBot="1" x14ac:dyDescent="0.25">
      <c r="Q32" s="21"/>
    </row>
    <row r="33" spans="1:17" ht="12" thickBot="1" x14ac:dyDescent="0.25">
      <c r="A33" s="330" t="s">
        <v>10</v>
      </c>
      <c r="B33" s="331" t="s">
        <v>493</v>
      </c>
      <c r="D33" s="542" t="s">
        <v>680</v>
      </c>
      <c r="E33" s="543"/>
      <c r="F33" s="544"/>
      <c r="Q33" s="21"/>
    </row>
    <row r="34" spans="1:17" x14ac:dyDescent="0.2">
      <c r="Q34" s="21"/>
    </row>
    <row r="35" spans="1:17" s="9" customFormat="1" x14ac:dyDescent="0.2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100000</v>
      </c>
      <c r="F35" s="37">
        <v>3000</v>
      </c>
      <c r="G35" s="37">
        <f>6057.27*(1+CALC!$A$2)</f>
        <v>6420.7062000000005</v>
      </c>
      <c r="H35" s="37">
        <f>20000*(1+CALC!$A$2)</f>
        <v>21200</v>
      </c>
      <c r="I35" s="37">
        <v>115059.85</v>
      </c>
      <c r="J35" s="37"/>
      <c r="K35" s="37">
        <f>1400*(1.05+CALC!$A$2)</f>
        <v>1554.0000000000002</v>
      </c>
      <c r="L35" s="37"/>
      <c r="M35" s="37">
        <f>SUM(E35:L35)</f>
        <v>247234.55619999999</v>
      </c>
      <c r="N35" s="32">
        <f>M35/CALC!$A$8*CALC!$A$6</f>
        <v>24513.542447357264</v>
      </c>
      <c r="O35" s="37">
        <f>+M35+N35</f>
        <v>271748.09864735726</v>
      </c>
      <c r="P35" s="48">
        <v>1.5</v>
      </c>
      <c r="Q35" s="49"/>
    </row>
    <row r="36" spans="1:17" s="18" customFormat="1" x14ac:dyDescent="0.2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100000</v>
      </c>
      <c r="F36" s="14">
        <f t="shared" si="4"/>
        <v>3000</v>
      </c>
      <c r="G36" s="37">
        <f>6057.27*(1+CALC!$A$2)</f>
        <v>6420.7062000000005</v>
      </c>
      <c r="H36" s="37">
        <f>20000*(1+CALC!$A$2)</f>
        <v>21200</v>
      </c>
      <c r="I36" s="14">
        <f t="shared" si="4"/>
        <v>115059.85</v>
      </c>
      <c r="J36" s="14">
        <f>SUM(J35)</f>
        <v>0</v>
      </c>
      <c r="K36" s="14">
        <f>SUM(K35:K35)</f>
        <v>1554.0000000000002</v>
      </c>
      <c r="L36" s="14">
        <f>+L35</f>
        <v>0</v>
      </c>
      <c r="M36" s="14">
        <f>SUM(M35:M35)</f>
        <v>247234.55619999999</v>
      </c>
      <c r="N36" s="14">
        <f>M36/CALC!$A$8*CALC!$A$6</f>
        <v>24513.542447357264</v>
      </c>
      <c r="O36" s="14">
        <f>+M36+N36</f>
        <v>271748.09864735726</v>
      </c>
      <c r="P36" s="33"/>
      <c r="Q36" s="135">
        <f>(+O36/D36)*(1+CALC!$A$3)</f>
        <v>27.174809864735725</v>
      </c>
    </row>
    <row r="37" spans="1:17" s="18" customFormat="1" ht="12" thickBot="1" x14ac:dyDescent="0.25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 x14ac:dyDescent="0.25">
      <c r="A38" s="330" t="s">
        <v>10</v>
      </c>
      <c r="B38" s="331" t="s">
        <v>494</v>
      </c>
      <c r="D38" s="542" t="s">
        <v>687</v>
      </c>
      <c r="E38" s="543"/>
      <c r="F38" s="544"/>
      <c r="Q38" s="21"/>
    </row>
    <row r="39" spans="1:17" x14ac:dyDescent="0.2">
      <c r="Q39" s="21"/>
    </row>
    <row r="40" spans="1:17" s="9" customFormat="1" x14ac:dyDescent="0.2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200000</v>
      </c>
      <c r="F40" s="37">
        <v>3000</v>
      </c>
      <c r="G40" s="37">
        <f>6057.27*(1+CALC!$A$2)</f>
        <v>6420.7062000000005</v>
      </c>
      <c r="H40" s="37">
        <f>20000*(1+CALC!$A$2)</f>
        <v>21200</v>
      </c>
      <c r="I40" s="37">
        <v>155703.49</v>
      </c>
      <c r="J40" s="37"/>
      <c r="K40" s="37">
        <f>6100*(1.05+CALC!$A$2)</f>
        <v>6771.0000000000009</v>
      </c>
      <c r="L40" s="37"/>
      <c r="M40" s="37">
        <f>SUM(E40:L40)</f>
        <v>393095.19620000001</v>
      </c>
      <c r="N40" s="32">
        <f>M40/CALC!$A$8*CALC!$A$6</f>
        <v>38975.76425403</v>
      </c>
      <c r="O40" s="37">
        <f>+M40+N40</f>
        <v>432070.96045403002</v>
      </c>
      <c r="P40" s="48">
        <v>1.5</v>
      </c>
      <c r="Q40" s="49"/>
    </row>
    <row r="41" spans="1:17" s="18" customFormat="1" x14ac:dyDescent="0.2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200000</v>
      </c>
      <c r="F41" s="14">
        <f t="shared" si="5"/>
        <v>3000</v>
      </c>
      <c r="G41" s="14">
        <f t="shared" si="5"/>
        <v>6420.7062000000005</v>
      </c>
      <c r="H41" s="14">
        <f t="shared" si="5"/>
        <v>21200</v>
      </c>
      <c r="I41" s="14">
        <f t="shared" si="5"/>
        <v>155703.49</v>
      </c>
      <c r="J41" s="14">
        <f>SUM(J40)</f>
        <v>0</v>
      </c>
      <c r="K41" s="14">
        <f t="shared" ref="K41:L41" si="6">SUM(K40)</f>
        <v>6771.0000000000009</v>
      </c>
      <c r="L41" s="14">
        <f t="shared" si="6"/>
        <v>0</v>
      </c>
      <c r="M41" s="14">
        <f>SUM(M40:M40)</f>
        <v>393095.19620000001</v>
      </c>
      <c r="N41" s="14">
        <f>M41/CALC!$A$8*CALC!$A$6</f>
        <v>38975.76425403</v>
      </c>
      <c r="O41" s="14">
        <f>+M41+N41</f>
        <v>432070.96045403002</v>
      </c>
      <c r="P41" s="33"/>
      <c r="Q41" s="135">
        <f>(+O41/D41)*(1+CALC!$A$3)</f>
        <v>21.603548022701499</v>
      </c>
    </row>
    <row r="42" spans="1:17" ht="12" thickBot="1" x14ac:dyDescent="0.25">
      <c r="Q42" s="21"/>
    </row>
    <row r="43" spans="1:17" ht="12" thickBot="1" x14ac:dyDescent="0.25">
      <c r="A43" s="330" t="s">
        <v>10</v>
      </c>
      <c r="B43" s="331" t="s">
        <v>495</v>
      </c>
      <c r="D43" s="542" t="s">
        <v>678</v>
      </c>
      <c r="E43" s="543"/>
      <c r="F43" s="544"/>
      <c r="Q43" s="21"/>
    </row>
    <row r="44" spans="1:17" x14ac:dyDescent="0.2">
      <c r="Q44" s="21"/>
    </row>
    <row r="45" spans="1:17" x14ac:dyDescent="0.2">
      <c r="Q45" s="21"/>
    </row>
    <row r="46" spans="1:17" s="9" customFormat="1" x14ac:dyDescent="0.2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150000</v>
      </c>
      <c r="F46" s="37">
        <v>3000</v>
      </c>
      <c r="G46" s="37">
        <f>6057.27*(1+CALC!$A$2)</f>
        <v>6420.7062000000005</v>
      </c>
      <c r="H46" s="37">
        <f>20000*(1+CALC!$A$2)</f>
        <v>21200</v>
      </c>
      <c r="I46" s="37">
        <v>128772.28</v>
      </c>
      <c r="J46" s="37"/>
      <c r="K46" s="37">
        <f>5400*(1.05+CALC!$A$2)</f>
        <v>5994.0000000000009</v>
      </c>
      <c r="L46" s="37"/>
      <c r="M46" s="37">
        <f>SUM(E46:L46)</f>
        <v>315386.98620000004</v>
      </c>
      <c r="N46" s="32">
        <f>M46/CALC!$A$8*CALC!$A$6</f>
        <v>31270.920992547643</v>
      </c>
      <c r="O46" s="37">
        <f>+M46+N46</f>
        <v>346657.90719254769</v>
      </c>
      <c r="P46" s="48">
        <v>1.5</v>
      </c>
      <c r="Q46" s="49"/>
    </row>
    <row r="47" spans="1:17" s="9" customFormat="1" x14ac:dyDescent="0.2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150000</v>
      </c>
      <c r="F47" s="37">
        <v>3000</v>
      </c>
      <c r="G47" s="37">
        <f>6057.27*(1+CALC!$A$2)</f>
        <v>6420.7062000000005</v>
      </c>
      <c r="H47" s="37">
        <f>20000*(1+CALC!$A$2)</f>
        <v>21200</v>
      </c>
      <c r="I47" s="37">
        <v>128772.28</v>
      </c>
      <c r="J47" s="37"/>
      <c r="K47" s="37">
        <f>5670*(1.05+CALC!$A$2)</f>
        <v>6293.7000000000007</v>
      </c>
      <c r="L47" s="37"/>
      <c r="M47" s="37">
        <f>SUM(E47:L47)</f>
        <v>315686.68620000005</v>
      </c>
      <c r="N47" s="32">
        <f>M47/CALC!$A$8*CALC!$A$6</f>
        <v>31300.63653387161</v>
      </c>
      <c r="O47" s="37">
        <f>+M47+N47</f>
        <v>346987.32273387164</v>
      </c>
      <c r="P47" s="48">
        <v>1.5</v>
      </c>
      <c r="Q47" s="49"/>
    </row>
    <row r="48" spans="1:17" s="18" customFormat="1" x14ac:dyDescent="0.2">
      <c r="A48" s="35"/>
      <c r="B48" s="4" t="s">
        <v>14</v>
      </c>
      <c r="C48" s="26"/>
      <c r="D48" s="16">
        <f>+D46+D47</f>
        <v>30000</v>
      </c>
      <c r="E48" s="14">
        <f>+E46+E47</f>
        <v>300000</v>
      </c>
      <c r="F48" s="14">
        <f t="shared" ref="F48:O48" si="7">+F46+F47</f>
        <v>6000</v>
      </c>
      <c r="G48" s="14">
        <f t="shared" si="7"/>
        <v>12841.412400000001</v>
      </c>
      <c r="H48" s="14">
        <f t="shared" si="7"/>
        <v>42400</v>
      </c>
      <c r="I48" s="14">
        <f t="shared" si="7"/>
        <v>257544.56</v>
      </c>
      <c r="J48" s="14">
        <f t="shared" si="7"/>
        <v>0</v>
      </c>
      <c r="K48" s="14">
        <f t="shared" si="7"/>
        <v>12287.7</v>
      </c>
      <c r="L48" s="14">
        <f t="shared" si="7"/>
        <v>0</v>
      </c>
      <c r="M48" s="14">
        <f t="shared" si="7"/>
        <v>631073.67240000004</v>
      </c>
      <c r="N48" s="14">
        <f t="shared" si="7"/>
        <v>62571.557526419252</v>
      </c>
      <c r="O48" s="14">
        <f t="shared" si="7"/>
        <v>693645.22992641933</v>
      </c>
      <c r="P48" s="14"/>
      <c r="Q48" s="135">
        <f>(+O48/D48)*(1+CALC!$A$3)</f>
        <v>23.121507664213979</v>
      </c>
    </row>
    <row r="49" spans="1:20" s="18" customFormat="1" x14ac:dyDescent="0.2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 x14ac:dyDescent="0.25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 x14ac:dyDescent="0.25">
      <c r="A51" s="330" t="s">
        <v>10</v>
      </c>
      <c r="B51" s="331" t="s">
        <v>242</v>
      </c>
      <c r="D51" s="542" t="s">
        <v>238</v>
      </c>
      <c r="E51" s="543"/>
      <c r="F51" s="544"/>
      <c r="Q51" s="21"/>
    </row>
    <row r="52" spans="1:20" x14ac:dyDescent="0.2">
      <c r="Q52" s="21"/>
    </row>
    <row r="53" spans="1:20" s="9" customFormat="1" x14ac:dyDescent="0.2">
      <c r="A53" s="61" t="s">
        <v>238</v>
      </c>
      <c r="B53" s="61" t="s">
        <v>239</v>
      </c>
      <c r="C53" s="54">
        <v>420</v>
      </c>
      <c r="D53" s="46">
        <v>1500</v>
      </c>
      <c r="E53" s="62">
        <f>+D53/P53*(CALC!$A$4)</f>
        <v>321428.57142857142</v>
      </c>
      <c r="F53" s="37">
        <v>3000</v>
      </c>
      <c r="G53" s="37">
        <f>33000*(1+CALC!$A$2)</f>
        <v>34980</v>
      </c>
      <c r="H53" s="37">
        <f>150000*(1+CALC!$A$2)</f>
        <v>159000</v>
      </c>
      <c r="I53" s="37">
        <f>0.75*358758.05</f>
        <v>269068.53749999998</v>
      </c>
      <c r="J53" s="37">
        <v>0</v>
      </c>
      <c r="K53" s="37">
        <f>250*(1.05+CALC!$A$2)</f>
        <v>277.5</v>
      </c>
      <c r="L53" s="37"/>
      <c r="M53" s="37">
        <f>SUM(E53:L53)</f>
        <v>787754.60892857146</v>
      </c>
      <c r="N53" s="32">
        <f>M53/CALC!$A$8*CALC!$A$6</f>
        <v>78106.62207127118</v>
      </c>
      <c r="O53" s="37">
        <f>+M53+N53</f>
        <v>865861.23099984264</v>
      </c>
      <c r="P53" s="48">
        <v>7.0000000000000007E-2</v>
      </c>
      <c r="Q53" s="49"/>
    </row>
    <row r="54" spans="1:20" s="9" customFormat="1" x14ac:dyDescent="0.2">
      <c r="A54" s="61" t="s">
        <v>238</v>
      </c>
      <c r="B54" s="61" t="s">
        <v>240</v>
      </c>
      <c r="C54" s="54">
        <v>421</v>
      </c>
      <c r="D54" s="46">
        <v>1500</v>
      </c>
      <c r="E54" s="62">
        <f>+D54/P54*(CALC!$A$4)</f>
        <v>321428.57142857142</v>
      </c>
      <c r="F54" s="37">
        <v>3000</v>
      </c>
      <c r="G54" s="37">
        <f>33000*(1+CALC!$A$2)</f>
        <v>34980</v>
      </c>
      <c r="H54" s="37">
        <f>150000*(1+CALC!$A$2)</f>
        <v>159000</v>
      </c>
      <c r="I54" s="37">
        <f>0.75*358758.05</f>
        <v>269068.53749999998</v>
      </c>
      <c r="J54" s="37">
        <v>0</v>
      </c>
      <c r="K54" s="37">
        <f>250*(1.05+CALC!$A$2)</f>
        <v>277.5</v>
      </c>
      <c r="L54" s="37"/>
      <c r="M54" s="37">
        <f>SUM(E54:L54)</f>
        <v>787754.60892857146</v>
      </c>
      <c r="N54" s="32">
        <f>M54/CALC!$A$8*CALC!$A$6</f>
        <v>78106.62207127118</v>
      </c>
      <c r="O54" s="37">
        <f>+M54+N54</f>
        <v>865861.23099984264</v>
      </c>
      <c r="P54" s="48">
        <v>7.0000000000000007E-2</v>
      </c>
      <c r="Q54" s="49"/>
      <c r="R54" s="25"/>
      <c r="S54" s="25"/>
      <c r="T54" s="25"/>
    </row>
    <row r="55" spans="1:20" s="18" customFormat="1" x14ac:dyDescent="0.2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642857.14285714284</v>
      </c>
      <c r="F55" s="14">
        <f t="shared" si="8"/>
        <v>6000</v>
      </c>
      <c r="G55" s="14">
        <f t="shared" si="8"/>
        <v>69960</v>
      </c>
      <c r="H55" s="14">
        <f t="shared" si="8"/>
        <v>318000</v>
      </c>
      <c r="I55" s="14">
        <f t="shared" si="8"/>
        <v>538137.07499999995</v>
      </c>
      <c r="J55" s="14">
        <f t="shared" si="8"/>
        <v>0</v>
      </c>
      <c r="K55" s="14">
        <f t="shared" si="8"/>
        <v>555</v>
      </c>
      <c r="L55" s="14">
        <f t="shared" si="8"/>
        <v>0</v>
      </c>
      <c r="M55" s="14">
        <f t="shared" si="8"/>
        <v>1575509.2178571429</v>
      </c>
      <c r="N55" s="14">
        <f t="shared" si="8"/>
        <v>156213.24414254236</v>
      </c>
      <c r="O55" s="14">
        <f t="shared" si="8"/>
        <v>1731722.4619996853</v>
      </c>
      <c r="P55" s="33"/>
      <c r="Q55" s="135">
        <f>(+O55/D55)*(1+CALC!$A$3)</f>
        <v>577.24082066656172</v>
      </c>
    </row>
    <row r="56" spans="1:20" ht="12" thickBot="1" x14ac:dyDescent="0.25">
      <c r="Q56" s="21"/>
    </row>
    <row r="57" spans="1:20" s="9" customFormat="1" ht="12" thickBot="1" x14ac:dyDescent="0.25">
      <c r="A57" s="330" t="s">
        <v>10</v>
      </c>
      <c r="B57" s="331" t="s">
        <v>496</v>
      </c>
      <c r="C57" s="153"/>
      <c r="D57" s="542" t="s">
        <v>450</v>
      </c>
      <c r="E57" s="543"/>
      <c r="F57" s="544"/>
      <c r="P57" s="65"/>
      <c r="Q57" s="49"/>
    </row>
    <row r="58" spans="1:20" s="9" customFormat="1" x14ac:dyDescent="0.2">
      <c r="C58" s="153"/>
      <c r="D58" s="23"/>
      <c r="P58" s="65"/>
      <c r="Q58" s="49"/>
    </row>
    <row r="59" spans="1:20" s="9" customFormat="1" x14ac:dyDescent="0.2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100000</v>
      </c>
      <c r="F59" s="37">
        <v>3000</v>
      </c>
      <c r="G59" s="37">
        <f>33000*(1+CALC!$A$2)</f>
        <v>34980</v>
      </c>
      <c r="H59" s="37">
        <f>150000*(1+CALC!$A$2)</f>
        <v>159000</v>
      </c>
      <c r="I59" s="37">
        <v>144102.19</v>
      </c>
      <c r="J59" s="37"/>
      <c r="K59" s="37">
        <f>250*(1.05+CALC!$A$2)</f>
        <v>277.5</v>
      </c>
      <c r="L59" s="37"/>
      <c r="M59" s="37">
        <f>SUM(E59:L59)</f>
        <v>441359.69</v>
      </c>
      <c r="N59" s="32">
        <f>M59/CALC!$A$8*CALC!$A$6</f>
        <v>43761.234924680983</v>
      </c>
      <c r="O59" s="37">
        <f>+M59+N59</f>
        <v>485120.92492468096</v>
      </c>
      <c r="P59" s="48">
        <v>0.15</v>
      </c>
      <c r="Q59" s="49"/>
    </row>
    <row r="60" spans="1:20" s="9" customFormat="1" x14ac:dyDescent="0.2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100000</v>
      </c>
      <c r="F60" s="37">
        <v>3000</v>
      </c>
      <c r="G60" s="37">
        <f>33000*(1+CALC!$A$2)</f>
        <v>34980</v>
      </c>
      <c r="H60" s="37">
        <f>150000*(1+CALC!$A$2)</f>
        <v>159000</v>
      </c>
      <c r="I60" s="37">
        <v>144102.19</v>
      </c>
      <c r="J60" s="37"/>
      <c r="K60" s="37">
        <f>250*(1.05+CALC!$A$2)</f>
        <v>277.5</v>
      </c>
      <c r="L60" s="37"/>
      <c r="M60" s="37">
        <f>SUM(E60:L60)</f>
        <v>441359.69</v>
      </c>
      <c r="N60" s="32">
        <f>M60/CALC!$A$8*CALC!$A$6</f>
        <v>43761.234924680983</v>
      </c>
      <c r="O60" s="37">
        <f>+M60+N60</f>
        <v>485120.92492468096</v>
      </c>
      <c r="P60" s="48">
        <v>0.15</v>
      </c>
      <c r="Q60" s="49"/>
    </row>
    <row r="61" spans="1:20" s="10" customFormat="1" x14ac:dyDescent="0.2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200000</v>
      </c>
      <c r="F61" s="32">
        <f t="shared" si="9"/>
        <v>6000</v>
      </c>
      <c r="G61" s="32">
        <f t="shared" si="9"/>
        <v>69960</v>
      </c>
      <c r="H61" s="32">
        <f t="shared" si="9"/>
        <v>318000</v>
      </c>
      <c r="I61" s="32">
        <f t="shared" si="9"/>
        <v>288204.38</v>
      </c>
      <c r="J61" s="32">
        <f t="shared" si="9"/>
        <v>0</v>
      </c>
      <c r="K61" s="32">
        <f t="shared" si="9"/>
        <v>555</v>
      </c>
      <c r="L61" s="14">
        <f t="shared" ref="L61" si="10">+L59+L60</f>
        <v>0</v>
      </c>
      <c r="M61" s="32">
        <f t="shared" si="9"/>
        <v>882719.38</v>
      </c>
      <c r="N61" s="32">
        <f t="shared" si="9"/>
        <v>87522.469849361965</v>
      </c>
      <c r="O61" s="32">
        <f t="shared" si="9"/>
        <v>970241.84984936193</v>
      </c>
      <c r="P61" s="50"/>
      <c r="Q61" s="51">
        <f>(+O61/D61)*(1+CALC!$A$3)</f>
        <v>485.12092492468093</v>
      </c>
    </row>
    <row r="62" spans="1:20" s="9" customFormat="1" ht="12" thickBot="1" x14ac:dyDescent="0.25">
      <c r="C62" s="153"/>
      <c r="D62" s="23"/>
      <c r="P62" s="65"/>
      <c r="Q62" s="49"/>
    </row>
    <row r="63" spans="1:20" s="9" customFormat="1" ht="12" thickBot="1" x14ac:dyDescent="0.25">
      <c r="A63" s="330" t="s">
        <v>10</v>
      </c>
      <c r="B63" s="331" t="s">
        <v>497</v>
      </c>
      <c r="C63" s="153"/>
      <c r="D63" s="542" t="s">
        <v>451</v>
      </c>
      <c r="E63" s="543"/>
      <c r="F63" s="544"/>
      <c r="P63" s="65"/>
      <c r="Q63" s="49"/>
    </row>
    <row r="64" spans="1:20" s="9" customFormat="1" x14ac:dyDescent="0.2">
      <c r="C64" s="153"/>
      <c r="D64" s="23"/>
      <c r="P64" s="65"/>
      <c r="Q64" s="49"/>
    </row>
    <row r="65" spans="1:20" s="9" customFormat="1" x14ac:dyDescent="0.2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100000</v>
      </c>
      <c r="F65" s="37">
        <v>3000</v>
      </c>
      <c r="G65" s="37">
        <f>33000*(1+CALC!$A$2)</f>
        <v>34980</v>
      </c>
      <c r="H65" s="37">
        <f>150000*(1+CALC!$A$2)</f>
        <v>159000</v>
      </c>
      <c r="I65" s="37">
        <v>169375.69</v>
      </c>
      <c r="J65" s="37"/>
      <c r="K65" s="91">
        <v>0</v>
      </c>
      <c r="L65" s="37"/>
      <c r="M65" s="37">
        <f>SUM(E65:L65)</f>
        <v>466355.69</v>
      </c>
      <c r="N65" s="32">
        <f>M65/CALC!$A$8*CALC!$A$6</f>
        <v>46239.612205074045</v>
      </c>
      <c r="O65" s="37">
        <f>+M65+N65</f>
        <v>512595.30220507405</v>
      </c>
      <c r="P65" s="48">
        <v>0.15</v>
      </c>
      <c r="Q65" s="49"/>
    </row>
    <row r="66" spans="1:20" s="9" customFormat="1" x14ac:dyDescent="0.2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100000</v>
      </c>
      <c r="F66" s="37">
        <v>3000</v>
      </c>
      <c r="G66" s="37">
        <f>33000*(1+CALC!$A$2)</f>
        <v>34980</v>
      </c>
      <c r="H66" s="37">
        <f>150000*(1+CALC!$A$2)</f>
        <v>159000</v>
      </c>
      <c r="I66" s="37">
        <v>169375.69</v>
      </c>
      <c r="J66" s="37"/>
      <c r="K66" s="91">
        <v>0</v>
      </c>
      <c r="L66" s="37"/>
      <c r="M66" s="37">
        <f>SUM(E66:L66)</f>
        <v>466355.69</v>
      </c>
      <c r="N66" s="32">
        <f>M66/CALC!$A$8*CALC!$A$6</f>
        <v>46239.612205074045</v>
      </c>
      <c r="O66" s="37">
        <f>+M66+N66</f>
        <v>512595.30220507405</v>
      </c>
      <c r="P66" s="48">
        <v>0.15</v>
      </c>
      <c r="Q66" s="49"/>
    </row>
    <row r="67" spans="1:20" s="10" customFormat="1" x14ac:dyDescent="0.2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200000</v>
      </c>
      <c r="F67" s="32">
        <f t="shared" si="11"/>
        <v>6000</v>
      </c>
      <c r="G67" s="32">
        <f t="shared" si="11"/>
        <v>69960</v>
      </c>
      <c r="H67" s="32">
        <f t="shared" si="11"/>
        <v>318000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932711.38</v>
      </c>
      <c r="N67" s="32">
        <f>M67/CALC!$A$8*CALC!$A$6</f>
        <v>92479.22441014809</v>
      </c>
      <c r="O67" s="32">
        <f>+M67+N67</f>
        <v>1025190.6044101481</v>
      </c>
      <c r="P67" s="50"/>
      <c r="Q67" s="51">
        <f>(+O67/D67)*(1+CALC!$A$3)</f>
        <v>512.59530220507406</v>
      </c>
    </row>
    <row r="68" spans="1:20" s="9" customFormat="1" ht="12" thickBot="1" x14ac:dyDescent="0.25">
      <c r="C68" s="153"/>
      <c r="D68" s="23"/>
      <c r="P68" s="65"/>
      <c r="Q68" s="49"/>
    </row>
    <row r="69" spans="1:20" s="9" customFormat="1" ht="12" thickBot="1" x14ac:dyDescent="0.25">
      <c r="A69" s="330" t="s">
        <v>10</v>
      </c>
      <c r="B69" s="331" t="s">
        <v>498</v>
      </c>
      <c r="C69" s="153"/>
      <c r="D69" s="542" t="s">
        <v>453</v>
      </c>
      <c r="E69" s="543"/>
      <c r="F69" s="544"/>
      <c r="P69" s="65"/>
      <c r="Q69" s="49"/>
    </row>
    <row r="70" spans="1:20" s="9" customFormat="1" x14ac:dyDescent="0.2">
      <c r="C70" s="153"/>
      <c r="D70" s="23"/>
      <c r="P70" s="65"/>
      <c r="Q70" s="49"/>
    </row>
    <row r="71" spans="1:20" s="9" customFormat="1" x14ac:dyDescent="0.2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34980</v>
      </c>
      <c r="H71" s="37">
        <f>15000*(1+CALC!$A$2)</f>
        <v>15900</v>
      </c>
      <c r="I71" s="37">
        <v>152692.6</v>
      </c>
      <c r="J71" s="37"/>
      <c r="K71" s="37">
        <f>8500*(1.05+CALC!$A$2)</f>
        <v>9435</v>
      </c>
      <c r="L71" s="37"/>
      <c r="M71" s="37">
        <f>SUM(E71:L71)</f>
        <v>262007.6</v>
      </c>
      <c r="N71" s="32">
        <f>M71/CALC!$A$8*CALC!$A$6</f>
        <v>25978.303853829162</v>
      </c>
      <c r="O71" s="37">
        <f>+M71+N71</f>
        <v>287985.90385382919</v>
      </c>
      <c r="P71" s="48">
        <v>0.15</v>
      </c>
      <c r="Q71" s="49"/>
    </row>
    <row r="72" spans="1:20" s="9" customFormat="1" x14ac:dyDescent="0.2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34980</v>
      </c>
      <c r="H72" s="37">
        <f>15000*(1+CALC!$A$2)</f>
        <v>15900</v>
      </c>
      <c r="I72" s="37">
        <v>152692.6</v>
      </c>
      <c r="J72" s="37"/>
      <c r="K72" s="37">
        <f>8925*(1.05+CALC!$A$2)</f>
        <v>9906.75</v>
      </c>
      <c r="L72" s="37"/>
      <c r="M72" s="37">
        <f>SUM(E72:L72)</f>
        <v>239479.35</v>
      </c>
      <c r="N72" s="32">
        <f>M72/CALC!$A$8*CALC!$A$6</f>
        <v>23744.606343546919</v>
      </c>
      <c r="O72" s="37">
        <f>+M72+N72</f>
        <v>263223.95634354692</v>
      </c>
      <c r="P72" s="48">
        <v>0.15</v>
      </c>
      <c r="Q72" s="49"/>
    </row>
    <row r="73" spans="1:20" s="10" customFormat="1" x14ac:dyDescent="0.2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69960</v>
      </c>
      <c r="H73" s="32">
        <f t="shared" si="13"/>
        <v>31800</v>
      </c>
      <c r="I73" s="32">
        <f t="shared" si="13"/>
        <v>305385.2</v>
      </c>
      <c r="J73" s="32">
        <f t="shared" si="13"/>
        <v>0</v>
      </c>
      <c r="K73" s="32">
        <f t="shared" si="13"/>
        <v>19341.75</v>
      </c>
      <c r="L73" s="14">
        <f t="shared" ref="L73" si="14">+L71+L72</f>
        <v>0</v>
      </c>
      <c r="M73" s="32">
        <f>SUM(M71:M72)</f>
        <v>501486.95</v>
      </c>
      <c r="N73" s="32">
        <f>M73/CALC!$A$8*CALC!$A$6</f>
        <v>49722.910197376077</v>
      </c>
      <c r="O73" s="32">
        <f>+M73+N73</f>
        <v>551209.86019737611</v>
      </c>
      <c r="P73" s="50"/>
      <c r="Q73" s="51">
        <f>(+O73/D73)*(1+CALC!$A$3)</f>
        <v>36.747324013158405</v>
      </c>
    </row>
    <row r="74" spans="1:20" s="9" customFormat="1" ht="12" thickBot="1" x14ac:dyDescent="0.25">
      <c r="C74" s="153"/>
      <c r="D74" s="23"/>
      <c r="P74" s="65"/>
      <c r="Q74" s="49"/>
    </row>
    <row r="75" spans="1:20" s="9" customFormat="1" ht="12" thickBot="1" x14ac:dyDescent="0.25">
      <c r="A75" s="330" t="s">
        <v>10</v>
      </c>
      <c r="B75" s="331" t="s">
        <v>499</v>
      </c>
      <c r="C75" s="153"/>
      <c r="D75" s="542" t="s">
        <v>452</v>
      </c>
      <c r="E75" s="543"/>
      <c r="F75" s="544"/>
      <c r="P75" s="65"/>
      <c r="Q75" s="49"/>
    </row>
    <row r="76" spans="1:20" s="9" customFormat="1" x14ac:dyDescent="0.2">
      <c r="C76" s="153"/>
      <c r="D76" s="23"/>
      <c r="P76" s="65"/>
      <c r="Q76" s="49"/>
    </row>
    <row r="77" spans="1:20" s="9" customFormat="1" x14ac:dyDescent="0.2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6421.4800000000005</v>
      </c>
      <c r="H77" s="37">
        <f>24700*(1+CALC!$A$2)</f>
        <v>26182</v>
      </c>
      <c r="I77" s="37">
        <v>103293.94</v>
      </c>
      <c r="J77" s="37"/>
      <c r="K77" s="37">
        <f>6000*(1.05+CALC!$A$2)</f>
        <v>6660.0000000000009</v>
      </c>
      <c r="L77" s="37"/>
      <c r="M77" s="37">
        <f>SUM(E77:L77)</f>
        <v>191557.42</v>
      </c>
      <c r="N77" s="32">
        <f>M77/CALC!$A$8*CALC!$A$6</f>
        <v>18993.101200940629</v>
      </c>
      <c r="O77" s="37">
        <f>+M77+N77</f>
        <v>210550.52120094065</v>
      </c>
      <c r="P77" s="48">
        <v>0.15</v>
      </c>
      <c r="Q77" s="49"/>
    </row>
    <row r="78" spans="1:20" s="9" customFormat="1" x14ac:dyDescent="0.2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6421.4800000000005</v>
      </c>
      <c r="H78" s="37">
        <f>24700*(1+CALC!$A$2)</f>
        <v>26182</v>
      </c>
      <c r="I78" s="37">
        <v>103293.94</v>
      </c>
      <c r="J78" s="37"/>
      <c r="K78" s="37">
        <f>6000*(1.05+CALC!$A$2)</f>
        <v>6660.0000000000009</v>
      </c>
      <c r="L78" s="37"/>
      <c r="M78" s="37">
        <f>SUM(E78:L78)</f>
        <v>191557.42</v>
      </c>
      <c r="N78" s="32">
        <f>M78/CALC!$A$8*CALC!$A$6</f>
        <v>18993.101200940629</v>
      </c>
      <c r="O78" s="37">
        <f>+M78+N78</f>
        <v>210550.52120094065</v>
      </c>
      <c r="P78" s="48">
        <v>0.15</v>
      </c>
      <c r="Q78" s="49"/>
      <c r="R78" s="25"/>
      <c r="S78" s="25"/>
      <c r="T78" s="25"/>
    </row>
    <row r="79" spans="1:20" s="9" customFormat="1" x14ac:dyDescent="0.2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6421.4800000000005</v>
      </c>
      <c r="H79" s="37">
        <f>24700*(1+CALC!$A$2)</f>
        <v>26182</v>
      </c>
      <c r="I79" s="37">
        <v>103293.94</v>
      </c>
      <c r="J79" s="37"/>
      <c r="K79" s="37">
        <f>6000*(1.05+CALC!$A$2)</f>
        <v>6660.0000000000009</v>
      </c>
      <c r="L79" s="37"/>
      <c r="M79" s="37">
        <f>SUM(E79:L79)</f>
        <v>191557.42</v>
      </c>
      <c r="N79" s="32">
        <f>M79/CALC!$A$8*CALC!$A$6</f>
        <v>18993.101200940629</v>
      </c>
      <c r="O79" s="37">
        <f>+M79+N79</f>
        <v>210550.52120094065</v>
      </c>
      <c r="P79" s="48">
        <v>0.15</v>
      </c>
      <c r="Q79" s="49"/>
    </row>
    <row r="80" spans="1:20" s="9" customFormat="1" x14ac:dyDescent="0.2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6421.4800000000005</v>
      </c>
      <c r="H80" s="37">
        <f>24700*(1+CALC!$A$2)</f>
        <v>26182</v>
      </c>
      <c r="I80" s="37">
        <v>103293.94</v>
      </c>
      <c r="J80" s="37"/>
      <c r="K80" s="37">
        <f>6000*(1.05+CALC!$A$2)</f>
        <v>6660.0000000000009</v>
      </c>
      <c r="L80" s="37"/>
      <c r="M80" s="37">
        <f>SUM(E80:L80)</f>
        <v>191557.42</v>
      </c>
      <c r="N80" s="32">
        <f>M80/CALC!$A$8*CALC!$A$6</f>
        <v>18993.101200940629</v>
      </c>
      <c r="O80" s="37">
        <f>+M80+N80</f>
        <v>210550.52120094065</v>
      </c>
      <c r="P80" s="48">
        <v>0.15</v>
      </c>
      <c r="Q80" s="49"/>
    </row>
    <row r="81" spans="1:17" s="10" customFormat="1" x14ac:dyDescent="0.2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25685.920000000002</v>
      </c>
      <c r="H81" s="32">
        <f t="shared" si="15"/>
        <v>104728</v>
      </c>
      <c r="I81" s="32">
        <f t="shared" si="15"/>
        <v>413175.76</v>
      </c>
      <c r="J81" s="32">
        <f t="shared" si="15"/>
        <v>0</v>
      </c>
      <c r="K81" s="32">
        <f t="shared" si="15"/>
        <v>26640.000000000004</v>
      </c>
      <c r="L81" s="32">
        <f t="shared" si="15"/>
        <v>0</v>
      </c>
      <c r="M81" s="32">
        <f t="shared" si="15"/>
        <v>766229.68</v>
      </c>
      <c r="N81" s="32">
        <f t="shared" si="15"/>
        <v>75972.404803762518</v>
      </c>
      <c r="O81" s="32">
        <f t="shared" si="15"/>
        <v>842202.08480376261</v>
      </c>
      <c r="P81" s="50"/>
      <c r="Q81" s="51">
        <f>(+O81/D81)*(1+CALC!$A$3)</f>
        <v>21.055052120094064</v>
      </c>
    </row>
    <row r="82" spans="1:17" x14ac:dyDescent="0.2">
      <c r="Q82" s="21"/>
    </row>
    <row r="83" spans="1:17" ht="12" thickBot="1" x14ac:dyDescent="0.25">
      <c r="Q83" s="21"/>
    </row>
    <row r="84" spans="1:17" ht="12" thickBot="1" x14ac:dyDescent="0.25">
      <c r="A84" s="330" t="s">
        <v>10</v>
      </c>
      <c r="B84" s="331" t="s">
        <v>151</v>
      </c>
      <c r="D84" s="542" t="s">
        <v>26</v>
      </c>
      <c r="E84" s="543"/>
      <c r="F84" s="544"/>
      <c r="Q84" s="21"/>
    </row>
    <row r="85" spans="1:17" x14ac:dyDescent="0.2">
      <c r="Q85" s="21"/>
    </row>
    <row r="86" spans="1:17" x14ac:dyDescent="0.2">
      <c r="A86" s="12" t="s">
        <v>92</v>
      </c>
      <c r="B86" s="12" t="s">
        <v>172</v>
      </c>
      <c r="C86" s="19">
        <v>99</v>
      </c>
      <c r="D86" s="8">
        <v>100</v>
      </c>
      <c r="E86" s="30">
        <f>+D86/P86*(CALC!$A$4)</f>
        <v>4166.666666666667</v>
      </c>
      <c r="F86" s="13"/>
      <c r="G86" s="13">
        <f>800*(1+CALC!$A$2)</f>
        <v>848</v>
      </c>
      <c r="H86" s="13">
        <f>3000*(1+CALC!$A$2)</f>
        <v>3180</v>
      </c>
      <c r="I86" s="13"/>
      <c r="J86" s="13"/>
      <c r="K86" s="13">
        <f>300*(1.05+CALC!$A$2)</f>
        <v>333.00000000000006</v>
      </c>
      <c r="L86" s="13"/>
      <c r="M86" s="13">
        <f t="shared" ref="M86:M100" si="16">SUM(E86:L86)</f>
        <v>8527.6666666666679</v>
      </c>
      <c r="N86" s="14">
        <f>M86/CALC!$A$8*CALC!$A$6</f>
        <v>845.5262970648073</v>
      </c>
      <c r="O86" s="13">
        <f>+M86+N86</f>
        <v>9373.1929637314752</v>
      </c>
      <c r="P86" s="31">
        <v>0.36</v>
      </c>
      <c r="Q86" s="21"/>
    </row>
    <row r="87" spans="1:17" x14ac:dyDescent="0.2">
      <c r="A87" s="12" t="s">
        <v>39</v>
      </c>
      <c r="B87" s="12" t="s">
        <v>169</v>
      </c>
      <c r="C87" s="19">
        <v>101</v>
      </c>
      <c r="D87" s="8">
        <v>0</v>
      </c>
      <c r="E87" s="30">
        <f>+D87/P87*(CALC!$A$4)</f>
        <v>0</v>
      </c>
      <c r="F87" s="13"/>
      <c r="G87" s="13">
        <f>1800*(1+CALC!$A$2)</f>
        <v>1908</v>
      </c>
      <c r="H87" s="13">
        <f>7000*(1+CALC!$A$2)</f>
        <v>7420</v>
      </c>
      <c r="I87" s="13"/>
      <c r="J87" s="13"/>
      <c r="K87" s="13">
        <f>300*(1.05+CALC!$A$2)</f>
        <v>333.00000000000006</v>
      </c>
      <c r="L87" s="13"/>
      <c r="M87" s="13">
        <f t="shared" si="16"/>
        <v>9661</v>
      </c>
      <c r="N87" s="14">
        <f>M87/CALC!$A$8*CALC!$A$6</f>
        <v>957.8973798158662</v>
      </c>
      <c r="O87" s="38">
        <f>+M87</f>
        <v>9661</v>
      </c>
      <c r="P87" s="31">
        <v>3</v>
      </c>
      <c r="Q87" s="21"/>
    </row>
    <row r="88" spans="1:17" x14ac:dyDescent="0.2">
      <c r="A88" s="12" t="s">
        <v>87</v>
      </c>
      <c r="B88" s="12" t="s">
        <v>163</v>
      </c>
      <c r="C88" s="19">
        <v>102</v>
      </c>
      <c r="D88" s="8">
        <v>0</v>
      </c>
      <c r="E88" s="30">
        <f>+D88/P88*(CALC!$A$4)</f>
        <v>0</v>
      </c>
      <c r="F88" s="13"/>
      <c r="G88" s="13">
        <f>710*(1+CALC!$A$2)</f>
        <v>752.6</v>
      </c>
      <c r="H88" s="13">
        <f>3100*(1+CALC!$A$2)</f>
        <v>3286</v>
      </c>
      <c r="I88" s="13"/>
      <c r="J88" s="13"/>
      <c r="K88" s="13">
        <f>300*(1.05+CALC!$A$2)</f>
        <v>333.00000000000006</v>
      </c>
      <c r="L88" s="13"/>
      <c r="M88" s="13">
        <f t="shared" si="16"/>
        <v>4371.6000000000004</v>
      </c>
      <c r="N88" s="14">
        <f>M88/CALC!$A$8*CALC!$A$6</f>
        <v>433.44831648929107</v>
      </c>
      <c r="O88" s="13">
        <f>+M88+N88</f>
        <v>4805.0483164892912</v>
      </c>
      <c r="P88" s="31">
        <v>0.36</v>
      </c>
      <c r="Q88" s="21"/>
    </row>
    <row r="89" spans="1:17" x14ac:dyDescent="0.2">
      <c r="A89" s="12" t="s">
        <v>96</v>
      </c>
      <c r="B89" s="12" t="s">
        <v>170</v>
      </c>
      <c r="C89" s="19">
        <v>104</v>
      </c>
      <c r="D89" s="8">
        <v>0</v>
      </c>
      <c r="E89" s="30">
        <f>+D89/P89*(CALC!$A$4)</f>
        <v>0</v>
      </c>
      <c r="F89" s="13"/>
      <c r="G89" s="13">
        <f>710*(1+CALC!$A$2)</f>
        <v>752.6</v>
      </c>
      <c r="H89" s="13">
        <f>3100*(1+CALC!$A$2)</f>
        <v>3286</v>
      </c>
      <c r="I89" s="13"/>
      <c r="J89" s="13"/>
      <c r="K89" s="13">
        <f>300*(1.05+CALC!$A$2)</f>
        <v>333.00000000000006</v>
      </c>
      <c r="L89" s="13"/>
      <c r="M89" s="13">
        <f t="shared" si="16"/>
        <v>4371.6000000000004</v>
      </c>
      <c r="N89" s="14">
        <f>M89/CALC!$A$8*CALC!$A$6</f>
        <v>433.44831648929107</v>
      </c>
      <c r="O89" s="38">
        <f>+M89</f>
        <v>4371.6000000000004</v>
      </c>
      <c r="P89" s="31">
        <v>2.5</v>
      </c>
      <c r="Q89" s="21"/>
    </row>
    <row r="90" spans="1:17" x14ac:dyDescent="0.2">
      <c r="A90" s="12" t="s">
        <v>97</v>
      </c>
      <c r="B90" s="12" t="s">
        <v>133</v>
      </c>
      <c r="C90" s="19">
        <v>105</v>
      </c>
      <c r="D90" s="8">
        <v>0</v>
      </c>
      <c r="E90" s="30">
        <f>+D90/P90*(CALC!$A$4)</f>
        <v>0</v>
      </c>
      <c r="F90" s="13"/>
      <c r="G90" s="13">
        <f>710*(1+CALC!$A$2)</f>
        <v>752.6</v>
      </c>
      <c r="H90" s="13">
        <f>3100*(1+CALC!$A$2)</f>
        <v>3286</v>
      </c>
      <c r="I90" s="13"/>
      <c r="J90" s="13"/>
      <c r="K90" s="13">
        <f>300*(1.05+CALC!$A$2)</f>
        <v>333.00000000000006</v>
      </c>
      <c r="L90" s="13"/>
      <c r="M90" s="13">
        <f t="shared" si="16"/>
        <v>4371.6000000000004</v>
      </c>
      <c r="N90" s="14">
        <f>M90/CALC!$A$8*CALC!$A$6</f>
        <v>433.44831648929107</v>
      </c>
      <c r="O90" s="38">
        <f>+M90</f>
        <v>4371.6000000000004</v>
      </c>
      <c r="P90" s="31">
        <v>1.8</v>
      </c>
      <c r="Q90" s="21"/>
    </row>
    <row r="91" spans="1:17" x14ac:dyDescent="0.2">
      <c r="A91" s="12" t="s">
        <v>98</v>
      </c>
      <c r="B91" s="12" t="s">
        <v>171</v>
      </c>
      <c r="C91" s="19">
        <v>106</v>
      </c>
      <c r="D91" s="8">
        <v>0</v>
      </c>
      <c r="E91" s="30">
        <f>+D91/P91*(CALC!$A$4)</f>
        <v>0</v>
      </c>
      <c r="F91" s="13"/>
      <c r="G91" s="13">
        <f>710*(1+CALC!$A$2)</f>
        <v>752.6</v>
      </c>
      <c r="H91" s="13">
        <f>3100*(1+CALC!$A$2)</f>
        <v>3286</v>
      </c>
      <c r="I91" s="13"/>
      <c r="J91" s="13"/>
      <c r="K91" s="13">
        <f>300*(1.05+CALC!$A$2)</f>
        <v>333.00000000000006</v>
      </c>
      <c r="L91" s="13"/>
      <c r="M91" s="13">
        <f t="shared" si="16"/>
        <v>4371.6000000000004</v>
      </c>
      <c r="N91" s="14">
        <f>M91/CALC!$A$8*CALC!$A$6</f>
        <v>433.44831648929107</v>
      </c>
      <c r="O91" s="38">
        <f>+M91</f>
        <v>4371.6000000000004</v>
      </c>
      <c r="P91" s="31">
        <v>2</v>
      </c>
      <c r="Q91" s="21"/>
    </row>
    <row r="92" spans="1:17" x14ac:dyDescent="0.2">
      <c r="A92" s="12" t="s">
        <v>90</v>
      </c>
      <c r="B92" s="12" t="s">
        <v>164</v>
      </c>
      <c r="C92" s="19">
        <v>109</v>
      </c>
      <c r="D92" s="8">
        <v>0</v>
      </c>
      <c r="E92" s="30">
        <f>+D92/P92*(CALC!$A$4)</f>
        <v>0</v>
      </c>
      <c r="F92" s="13"/>
      <c r="G92" s="13">
        <f>710*(1+CALC!$A$2)</f>
        <v>752.6</v>
      </c>
      <c r="H92" s="13">
        <f>3100*(1+CALC!$A$2)</f>
        <v>3286</v>
      </c>
      <c r="I92" s="13"/>
      <c r="J92" s="13"/>
      <c r="K92" s="13">
        <f>300*(1.05+CALC!$A$2)</f>
        <v>333.00000000000006</v>
      </c>
      <c r="L92" s="13"/>
      <c r="M92" s="13">
        <f t="shared" si="16"/>
        <v>4371.6000000000004</v>
      </c>
      <c r="N92" s="14">
        <f>M92/CALC!$A$8*CALC!$A$6</f>
        <v>433.44831648929107</v>
      </c>
      <c r="O92" s="13">
        <f t="shared" ref="O92:O101" si="17">+M92+N92</f>
        <v>4805.0483164892912</v>
      </c>
      <c r="P92" s="31">
        <v>0.1</v>
      </c>
      <c r="Q92" s="21"/>
    </row>
    <row r="93" spans="1:17" x14ac:dyDescent="0.2">
      <c r="A93" s="12" t="s">
        <v>25</v>
      </c>
      <c r="B93" s="12" t="s">
        <v>118</v>
      </c>
      <c r="C93" s="19">
        <v>118</v>
      </c>
      <c r="D93" s="8">
        <v>0</v>
      </c>
      <c r="E93" s="30">
        <f>+D93/P93*(CALC!$A$4)</f>
        <v>0</v>
      </c>
      <c r="F93" s="13">
        <v>3000</v>
      </c>
      <c r="G93" s="13">
        <f>5000*(1+CALC!$A$2)</f>
        <v>5300</v>
      </c>
      <c r="H93" s="13">
        <f>25000*(1+CALC!$A$2)</f>
        <v>26500</v>
      </c>
      <c r="I93" s="13"/>
      <c r="J93" s="13"/>
      <c r="K93" s="13">
        <f>300*(1.05+CALC!$A$2)</f>
        <v>333.00000000000006</v>
      </c>
      <c r="L93" s="13"/>
      <c r="M93" s="13">
        <f t="shared" si="16"/>
        <v>35133</v>
      </c>
      <c r="N93" s="14">
        <f>M93/CALC!$A$8*CALC!$A$6</f>
        <v>3483.4705149643746</v>
      </c>
      <c r="O93" s="13">
        <f t="shared" si="17"/>
        <v>38616.470514964378</v>
      </c>
      <c r="P93" s="31">
        <v>0.27</v>
      </c>
      <c r="Q93" s="21"/>
    </row>
    <row r="94" spans="1:17" x14ac:dyDescent="0.2">
      <c r="A94" s="12" t="s">
        <v>25</v>
      </c>
      <c r="B94" s="12" t="s">
        <v>119</v>
      </c>
      <c r="C94" s="19">
        <v>119</v>
      </c>
      <c r="D94" s="8">
        <v>0</v>
      </c>
      <c r="E94" s="30">
        <f>+D94/P94*(CALC!$A$4)</f>
        <v>0</v>
      </c>
      <c r="F94" s="13">
        <v>3000</v>
      </c>
      <c r="G94" s="13">
        <f>5000*(1+CALC!$A$2)</f>
        <v>5300</v>
      </c>
      <c r="H94" s="13">
        <f>6000*(1+CALC!$A$2)</f>
        <v>6360</v>
      </c>
      <c r="I94" s="13"/>
      <c r="J94" s="13"/>
      <c r="K94" s="13">
        <f>300*(1.05+CALC!$A$2)</f>
        <v>333.00000000000006</v>
      </c>
      <c r="L94" s="13"/>
      <c r="M94" s="13">
        <f t="shared" si="16"/>
        <v>14993</v>
      </c>
      <c r="N94" s="14">
        <f>M94/CALC!$A$8*CALC!$A$6</f>
        <v>1486.570273841143</v>
      </c>
      <c r="O94" s="13">
        <f t="shared" si="17"/>
        <v>16479.570273841142</v>
      </c>
      <c r="P94" s="31">
        <v>0.27</v>
      </c>
      <c r="Q94" s="21"/>
    </row>
    <row r="95" spans="1:17" x14ac:dyDescent="0.2">
      <c r="A95" s="12" t="s">
        <v>91</v>
      </c>
      <c r="B95" s="12" t="s">
        <v>120</v>
      </c>
      <c r="C95" s="19">
        <v>120</v>
      </c>
      <c r="D95" s="8">
        <v>300</v>
      </c>
      <c r="E95" s="30">
        <f>+D95/P95*(CALC!$A$4)</f>
        <v>45000</v>
      </c>
      <c r="F95" s="13"/>
      <c r="G95" s="13">
        <f>3000*(1+CALC!$A$2)</f>
        <v>3180</v>
      </c>
      <c r="H95" s="13">
        <f>20000*(1+CALC!$A$2)</f>
        <v>21200</v>
      </c>
      <c r="I95" s="13"/>
      <c r="J95" s="13"/>
      <c r="K95" s="13">
        <f>300*(1.05+CALC!$A$2)</f>
        <v>333.00000000000006</v>
      </c>
      <c r="L95" s="13"/>
      <c r="M95" s="13">
        <f t="shared" si="16"/>
        <v>69713</v>
      </c>
      <c r="N95" s="14">
        <f>M95/CALC!$A$8*CALC!$A$6</f>
        <v>6912.1105516099251</v>
      </c>
      <c r="O95" s="13">
        <f t="shared" si="17"/>
        <v>76625.11055160992</v>
      </c>
      <c r="P95" s="31">
        <v>0.1</v>
      </c>
      <c r="Q95" s="21"/>
    </row>
    <row r="96" spans="1:17" x14ac:dyDescent="0.2">
      <c r="A96" s="12" t="s">
        <v>87</v>
      </c>
      <c r="B96" s="12" t="s">
        <v>121</v>
      </c>
      <c r="C96" s="19">
        <v>122</v>
      </c>
      <c r="D96" s="8">
        <v>50</v>
      </c>
      <c r="E96" s="30">
        <f>+D96/P96*(CALC!$A$4)</f>
        <v>6250</v>
      </c>
      <c r="F96" s="13"/>
      <c r="G96" s="13">
        <f>3000*(1+CALC!$A$2)</f>
        <v>3180</v>
      </c>
      <c r="H96" s="13">
        <f>2000*(1+CALC!$A$2)</f>
        <v>2120</v>
      </c>
      <c r="I96" s="13"/>
      <c r="J96" s="13"/>
      <c r="K96" s="13">
        <f>300*(1.05+CALC!$A$2)</f>
        <v>333.00000000000006</v>
      </c>
      <c r="L96" s="13"/>
      <c r="M96" s="13">
        <f t="shared" si="16"/>
        <v>11883</v>
      </c>
      <c r="N96" s="14">
        <f>M96/CALC!$A$8*CALC!$A$6</f>
        <v>1178.2108026448543</v>
      </c>
      <c r="O96" s="13">
        <f t="shared" si="17"/>
        <v>13061.210802644855</v>
      </c>
      <c r="P96" s="31">
        <v>0.12</v>
      </c>
      <c r="Q96" s="21"/>
    </row>
    <row r="97" spans="1:20" x14ac:dyDescent="0.2">
      <c r="A97" s="12" t="s">
        <v>87</v>
      </c>
      <c r="B97" s="12" t="s">
        <v>165</v>
      </c>
      <c r="C97" s="19">
        <v>264</v>
      </c>
      <c r="D97" s="8">
        <v>100</v>
      </c>
      <c r="E97" s="30">
        <f>+D97/P97*(CALC!$A$4)</f>
        <v>4166.666666666667</v>
      </c>
      <c r="F97" s="13"/>
      <c r="G97" s="13">
        <f>800*(1+CALC!$A$2)</f>
        <v>848</v>
      </c>
      <c r="H97" s="13">
        <f>2000*(1+CALC!$A$2)</f>
        <v>2120</v>
      </c>
      <c r="I97" s="13"/>
      <c r="J97" s="13"/>
      <c r="K97" s="13">
        <v>0</v>
      </c>
      <c r="L97" s="13"/>
      <c r="M97" s="13">
        <f t="shared" si="16"/>
        <v>7134.666666666667</v>
      </c>
      <c r="N97" s="14">
        <f>M97/CALC!$A$8*CALC!$A$6</f>
        <v>707.40901623637308</v>
      </c>
      <c r="O97" s="13">
        <f t="shared" si="17"/>
        <v>7842.0756829030397</v>
      </c>
      <c r="P97" s="31">
        <v>0.36</v>
      </c>
      <c r="Q97" s="21"/>
    </row>
    <row r="98" spans="1:20" x14ac:dyDescent="0.2">
      <c r="A98" s="12" t="s">
        <v>87</v>
      </c>
      <c r="B98" s="12" t="s">
        <v>166</v>
      </c>
      <c r="C98" s="19">
        <v>265</v>
      </c>
      <c r="D98" s="8">
        <v>100</v>
      </c>
      <c r="E98" s="30">
        <f>+D98/P98*(CALC!$A$4)</f>
        <v>4166.666666666667</v>
      </c>
      <c r="F98" s="13"/>
      <c r="G98" s="13">
        <f>800*(1+CALC!$A$2)</f>
        <v>848</v>
      </c>
      <c r="H98" s="13">
        <f>2000*(1+CALC!$A$2)</f>
        <v>2120</v>
      </c>
      <c r="I98" s="13"/>
      <c r="J98" s="13"/>
      <c r="K98" s="13">
        <v>0</v>
      </c>
      <c r="L98" s="13"/>
      <c r="M98" s="13">
        <f t="shared" si="16"/>
        <v>7134.666666666667</v>
      </c>
      <c r="N98" s="14">
        <f>M98/CALC!$A$8*CALC!$A$6</f>
        <v>707.40901623637308</v>
      </c>
      <c r="O98" s="13">
        <f t="shared" si="17"/>
        <v>7842.0756829030397</v>
      </c>
      <c r="P98" s="31">
        <v>0.36</v>
      </c>
      <c r="Q98" s="21"/>
    </row>
    <row r="99" spans="1:20" x14ac:dyDescent="0.2">
      <c r="A99" s="12" t="s">
        <v>87</v>
      </c>
      <c r="B99" s="12" t="s">
        <v>167</v>
      </c>
      <c r="C99" s="19">
        <v>266</v>
      </c>
      <c r="D99" s="8">
        <v>100</v>
      </c>
      <c r="E99" s="30">
        <f>+D99/P99*(CALC!$A$4)</f>
        <v>4166.666666666667</v>
      </c>
      <c r="F99" s="13"/>
      <c r="G99" s="13">
        <f>800*(1+CALC!$A$2)</f>
        <v>848</v>
      </c>
      <c r="H99" s="13">
        <f>2000*(1+CALC!$A$2)</f>
        <v>2120</v>
      </c>
      <c r="I99" s="13"/>
      <c r="J99" s="13"/>
      <c r="K99" s="13">
        <v>0</v>
      </c>
      <c r="L99" s="13"/>
      <c r="M99" s="13">
        <f t="shared" si="16"/>
        <v>7134.666666666667</v>
      </c>
      <c r="N99" s="14">
        <f>M99/CALC!$A$8*CALC!$A$6</f>
        <v>707.40901623637308</v>
      </c>
      <c r="O99" s="13">
        <f t="shared" si="17"/>
        <v>7842.0756829030397</v>
      </c>
      <c r="P99" s="31">
        <v>0.36</v>
      </c>
      <c r="Q99" s="21"/>
    </row>
    <row r="100" spans="1:20" x14ac:dyDescent="0.2">
      <c r="A100" s="12" t="s">
        <v>87</v>
      </c>
      <c r="B100" s="12" t="s">
        <v>168</v>
      </c>
      <c r="C100" s="19">
        <v>267</v>
      </c>
      <c r="D100" s="8">
        <v>100</v>
      </c>
      <c r="E100" s="30">
        <f>+D100/P100*(CALC!$A$4)</f>
        <v>4166.666666666667</v>
      </c>
      <c r="F100" s="13"/>
      <c r="G100" s="13">
        <f>800*(1+CALC!$A$2)</f>
        <v>848</v>
      </c>
      <c r="H100" s="13">
        <f>2000*(1+CALC!$A$2)</f>
        <v>2120</v>
      </c>
      <c r="I100" s="13"/>
      <c r="J100" s="13"/>
      <c r="K100" s="13">
        <v>0</v>
      </c>
      <c r="L100" s="13"/>
      <c r="M100" s="13">
        <f t="shared" si="16"/>
        <v>7134.666666666667</v>
      </c>
      <c r="N100" s="14">
        <f>M100/CALC!$A$8*CALC!$A$6</f>
        <v>707.40901623637308</v>
      </c>
      <c r="O100" s="13">
        <f t="shared" si="17"/>
        <v>7842.0756829030397</v>
      </c>
      <c r="P100" s="31">
        <v>0.36</v>
      </c>
      <c r="Q100" s="21"/>
    </row>
    <row r="101" spans="1:20" s="18" customFormat="1" x14ac:dyDescent="0.2">
      <c r="A101" s="35"/>
      <c r="B101" s="4" t="s">
        <v>14</v>
      </c>
      <c r="C101" s="26"/>
      <c r="D101" s="16">
        <f>SUM(D86:D100)</f>
        <v>850</v>
      </c>
      <c r="E101" s="32">
        <f t="shared" ref="E101:M101" si="18">SUM(E86:E100)</f>
        <v>72083.333333333328</v>
      </c>
      <c r="F101" s="14">
        <f t="shared" si="18"/>
        <v>6000</v>
      </c>
      <c r="G101" s="14">
        <f t="shared" si="18"/>
        <v>26871</v>
      </c>
      <c r="H101" s="14">
        <f t="shared" si="18"/>
        <v>91690</v>
      </c>
      <c r="I101" s="14">
        <f t="shared" si="18"/>
        <v>0</v>
      </c>
      <c r="J101" s="14"/>
      <c r="K101" s="14">
        <f t="shared" si="18"/>
        <v>3663.0000000000005</v>
      </c>
      <c r="L101" s="14">
        <f t="shared" si="18"/>
        <v>0</v>
      </c>
      <c r="M101" s="14">
        <f t="shared" si="18"/>
        <v>200307.33333333328</v>
      </c>
      <c r="N101" s="14">
        <f>M101/CALC!$A$8*CALC!$A$6</f>
        <v>19860.663467332914</v>
      </c>
      <c r="O101" s="14">
        <f t="shared" si="17"/>
        <v>220167.99680066621</v>
      </c>
      <c r="P101" s="33"/>
      <c r="Q101" s="135">
        <f>(+O101/D101)*(1+CALC!$A$3)</f>
        <v>259.02117270666611</v>
      </c>
    </row>
    <row r="102" spans="1:20" x14ac:dyDescent="0.2">
      <c r="Q102" s="21"/>
    </row>
    <row r="103" spans="1:20" x14ac:dyDescent="0.2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 x14ac:dyDescent="0.2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 x14ac:dyDescent="0.25">
      <c r="Q105" s="21"/>
    </row>
    <row r="106" spans="1:20" ht="12" thickBot="1" x14ac:dyDescent="0.25">
      <c r="A106" s="330" t="s">
        <v>10</v>
      </c>
      <c r="B106" s="331" t="s">
        <v>152</v>
      </c>
      <c r="D106" s="542" t="s">
        <v>17</v>
      </c>
      <c r="E106" s="543"/>
      <c r="F106" s="544"/>
      <c r="Q106" s="21"/>
    </row>
    <row r="107" spans="1:20" x14ac:dyDescent="0.2">
      <c r="Q107" s="21"/>
    </row>
    <row r="108" spans="1:20" x14ac:dyDescent="0.2">
      <c r="A108" s="61" t="s">
        <v>33</v>
      </c>
      <c r="B108" s="12" t="s">
        <v>101</v>
      </c>
      <c r="C108" s="19">
        <v>150</v>
      </c>
      <c r="D108" s="8">
        <v>50</v>
      </c>
      <c r="E108" s="30">
        <f>+D108/P108*(CALC!$A$4)</f>
        <v>2500.0000000000005</v>
      </c>
      <c r="F108" s="13">
        <v>3000</v>
      </c>
      <c r="G108" s="13">
        <f>3000*(1+CALC!$A$2)</f>
        <v>3180</v>
      </c>
      <c r="H108" s="13">
        <f>5000*(1+CALC!$A$2)</f>
        <v>5300</v>
      </c>
      <c r="I108" s="13"/>
      <c r="J108" s="13"/>
      <c r="K108" s="13">
        <f>300*(1.05+CALC!$A$2)</f>
        <v>333.00000000000006</v>
      </c>
      <c r="L108" s="13"/>
      <c r="M108" s="13">
        <f>SUM(E108:L108)</f>
        <v>14313</v>
      </c>
      <c r="N108" s="14">
        <f>M108/CALC!$A$8*CALC!$A$6</f>
        <v>1419.1476241905075</v>
      </c>
      <c r="O108" s="13">
        <f>+M108+N108</f>
        <v>15732.147624190507</v>
      </c>
      <c r="P108" s="31">
        <v>0.3</v>
      </c>
      <c r="Q108" s="21"/>
      <c r="R108" s="11"/>
      <c r="S108" s="11"/>
      <c r="T108" s="11"/>
    </row>
    <row r="109" spans="1:20" x14ac:dyDescent="0.2">
      <c r="A109" s="12" t="s">
        <v>31</v>
      </c>
      <c r="B109" s="12" t="s">
        <v>122</v>
      </c>
      <c r="C109" s="19">
        <v>77</v>
      </c>
      <c r="D109" s="8">
        <v>100</v>
      </c>
      <c r="E109" s="30">
        <f>+D109/P109*(CALC!$A$4)</f>
        <v>7500</v>
      </c>
      <c r="F109" s="13">
        <v>3000</v>
      </c>
      <c r="G109" s="13">
        <f>756*(1+CALC!$A$2)</f>
        <v>801.36</v>
      </c>
      <c r="H109" s="13">
        <f>3100*(1+CALC!$A$2)</f>
        <v>3286</v>
      </c>
      <c r="I109" s="13"/>
      <c r="J109" s="13"/>
      <c r="K109" s="13">
        <f>300*(1.05+CALC!$A$2)</f>
        <v>333.00000000000006</v>
      </c>
      <c r="L109" s="13"/>
      <c r="M109" s="13">
        <f>SUM(E109:L109)</f>
        <v>14920.36</v>
      </c>
      <c r="N109" s="14">
        <f>M109/CALC!$A$8*CALC!$A$6</f>
        <v>1479.3679484431693</v>
      </c>
      <c r="O109" s="13">
        <f>+M109+N109</f>
        <v>16399.727948443171</v>
      </c>
      <c r="P109" s="31">
        <v>0.2</v>
      </c>
      <c r="Q109" s="21"/>
    </row>
    <row r="110" spans="1:20" x14ac:dyDescent="0.2">
      <c r="A110" s="12" t="s">
        <v>93</v>
      </c>
      <c r="B110" s="12" t="s">
        <v>123</v>
      </c>
      <c r="C110" s="19">
        <v>81</v>
      </c>
      <c r="D110" s="8">
        <v>110</v>
      </c>
      <c r="E110" s="30">
        <f>+D110/P110*(CALC!$A$4)</f>
        <v>10312.5</v>
      </c>
      <c r="F110" s="13">
        <v>3000</v>
      </c>
      <c r="G110" s="13">
        <f>756*(1+CALC!$A$2)</f>
        <v>801.36</v>
      </c>
      <c r="H110" s="13">
        <f>3100*(1+CALC!$A$2)</f>
        <v>3286</v>
      </c>
      <c r="I110" s="13"/>
      <c r="J110" s="13"/>
      <c r="K110" s="13">
        <f>300*(1.05+CALC!$A$2)</f>
        <v>333.00000000000006</v>
      </c>
      <c r="L110" s="13"/>
      <c r="M110" s="13">
        <f>SUM(E110:L110)</f>
        <v>17732.86</v>
      </c>
      <c r="N110" s="14">
        <f>M110/CALC!$A$8*CALC!$A$6</f>
        <v>1758.2300104173048</v>
      </c>
      <c r="O110" s="13">
        <f>+M110+N110</f>
        <v>19491.090010417305</v>
      </c>
      <c r="P110" s="31">
        <v>0.16</v>
      </c>
      <c r="Q110" s="21"/>
    </row>
    <row r="111" spans="1:20" s="18" customFormat="1" x14ac:dyDescent="0.2">
      <c r="A111" s="35"/>
      <c r="B111" s="4" t="s">
        <v>14</v>
      </c>
      <c r="C111" s="26"/>
      <c r="D111" s="16">
        <f>SUM(D108:D110)</f>
        <v>260</v>
      </c>
      <c r="E111" s="32">
        <f>SUM(E108:E110)</f>
        <v>20312.5</v>
      </c>
      <c r="F111" s="32">
        <f t="shared" ref="F111:O111" si="20">SUM(F108:F110)</f>
        <v>9000</v>
      </c>
      <c r="G111" s="32">
        <f t="shared" si="20"/>
        <v>4782.72</v>
      </c>
      <c r="H111" s="32">
        <f t="shared" si="20"/>
        <v>11872</v>
      </c>
      <c r="I111" s="32">
        <f t="shared" si="20"/>
        <v>0</v>
      </c>
      <c r="J111" s="32">
        <f t="shared" si="20"/>
        <v>0</v>
      </c>
      <c r="K111" s="32">
        <f t="shared" si="20"/>
        <v>999.00000000000023</v>
      </c>
      <c r="L111" s="32">
        <f t="shared" si="20"/>
        <v>0</v>
      </c>
      <c r="M111" s="32">
        <f t="shared" si="20"/>
        <v>46966.22</v>
      </c>
      <c r="N111" s="32">
        <f t="shared" si="20"/>
        <v>4656.7455830509816</v>
      </c>
      <c r="O111" s="32">
        <f t="shared" si="20"/>
        <v>51622.965583050987</v>
      </c>
      <c r="P111" s="33"/>
      <c r="Q111" s="135">
        <f>(+O111/D111)*(1+CALC!$A$3)</f>
        <v>198.54986762711917</v>
      </c>
    </row>
    <row r="112" spans="1:20" ht="12" thickBot="1" x14ac:dyDescent="0.25">
      <c r="Q112" s="21"/>
    </row>
    <row r="113" spans="1:17" ht="12" thickBot="1" x14ac:dyDescent="0.25">
      <c r="A113" s="330" t="s">
        <v>10</v>
      </c>
      <c r="B113" s="331" t="s">
        <v>153</v>
      </c>
      <c r="D113" s="542" t="s">
        <v>61</v>
      </c>
      <c r="E113" s="543"/>
      <c r="F113" s="544"/>
      <c r="Q113" s="21"/>
    </row>
    <row r="114" spans="1:17" x14ac:dyDescent="0.2">
      <c r="Q114" s="21"/>
    </row>
    <row r="115" spans="1:17" x14ac:dyDescent="0.2">
      <c r="A115" s="12" t="s">
        <v>94</v>
      </c>
      <c r="B115" s="12" t="s">
        <v>173</v>
      </c>
      <c r="C115" s="19">
        <v>86</v>
      </c>
      <c r="D115" s="8"/>
      <c r="E115" s="30"/>
      <c r="F115" s="13"/>
      <c r="G115" s="13">
        <f>800*(1+CALC!$A$2)</f>
        <v>848</v>
      </c>
      <c r="H115" s="13">
        <f>1500*(1+CALC!$A$2)</f>
        <v>1590</v>
      </c>
      <c r="I115" s="13"/>
      <c r="J115" s="13"/>
      <c r="K115" s="13">
        <f>300*(1.05+CALC!$A$2)</f>
        <v>333.00000000000006</v>
      </c>
      <c r="L115" s="13"/>
      <c r="M115" s="13">
        <f t="shared" ref="M115:M120" si="21">SUM(E115:L115)</f>
        <v>2771</v>
      </c>
      <c r="N115" s="14">
        <f>M115/CALC!$A$8*CALC!$A$6</f>
        <v>274.74729732633944</v>
      </c>
      <c r="O115" s="38">
        <f t="shared" ref="O115:O120" si="22">+M115</f>
        <v>2771</v>
      </c>
      <c r="P115" s="31"/>
      <c r="Q115" s="21"/>
    </row>
    <row r="116" spans="1:17" x14ac:dyDescent="0.2">
      <c r="A116" s="12" t="s">
        <v>16</v>
      </c>
      <c r="B116" s="12" t="s">
        <v>174</v>
      </c>
      <c r="C116" s="19">
        <v>87</v>
      </c>
      <c r="D116" s="8"/>
      <c r="E116" s="30"/>
      <c r="F116" s="13"/>
      <c r="G116" s="13">
        <f>800*(1+CALC!$A$2)</f>
        <v>848</v>
      </c>
      <c r="H116" s="13">
        <f>1500*(1+CALC!$A$2)</f>
        <v>1590</v>
      </c>
      <c r="I116" s="13"/>
      <c r="J116" s="13"/>
      <c r="K116" s="13">
        <f>300*(1.05+CALC!$A$2)</f>
        <v>333.00000000000006</v>
      </c>
      <c r="L116" s="13"/>
      <c r="M116" s="13">
        <f t="shared" si="21"/>
        <v>2771</v>
      </c>
      <c r="N116" s="14">
        <f>M116/CALC!$A$8*CALC!$A$6</f>
        <v>274.74729732633944</v>
      </c>
      <c r="O116" s="38">
        <f t="shared" si="22"/>
        <v>2771</v>
      </c>
      <c r="P116" s="31"/>
      <c r="Q116" s="21"/>
    </row>
    <row r="117" spans="1:17" x14ac:dyDescent="0.2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x14ac:dyDescent="0.2">
      <c r="A118" s="12" t="s">
        <v>95</v>
      </c>
      <c r="B118" s="12" t="s">
        <v>175</v>
      </c>
      <c r="C118" s="19">
        <v>89</v>
      </c>
      <c r="D118" s="8"/>
      <c r="E118" s="30"/>
      <c r="F118" s="13"/>
      <c r="G118" s="13">
        <f>800*(1+CALC!$A$2)</f>
        <v>848</v>
      </c>
      <c r="H118" s="13">
        <f>1500*(1+CALC!$A$2)</f>
        <v>1590</v>
      </c>
      <c r="I118" s="13"/>
      <c r="J118" s="13"/>
      <c r="K118" s="37">
        <f>500*(1.05+CALC!$A$2)</f>
        <v>555</v>
      </c>
      <c r="L118" s="13"/>
      <c r="M118" s="13">
        <f t="shared" si="21"/>
        <v>2993</v>
      </c>
      <c r="N118" s="14">
        <f>M118/CALC!$A$8*CALC!$A$6</f>
        <v>296.7588094181645</v>
      </c>
      <c r="O118" s="38">
        <f t="shared" si="22"/>
        <v>2993</v>
      </c>
      <c r="P118" s="31"/>
      <c r="Q118" s="21"/>
    </row>
    <row r="119" spans="1:17" x14ac:dyDescent="0.2">
      <c r="A119" s="12" t="s">
        <v>95</v>
      </c>
      <c r="B119" s="12" t="s">
        <v>176</v>
      </c>
      <c r="C119" s="19">
        <v>90</v>
      </c>
      <c r="D119" s="8"/>
      <c r="E119" s="30"/>
      <c r="F119" s="13"/>
      <c r="G119" s="13">
        <f>800*(1+CALC!$A$2)</f>
        <v>848</v>
      </c>
      <c r="H119" s="13">
        <f>1500*(1+CALC!$A$2)</f>
        <v>1590</v>
      </c>
      <c r="I119" s="13"/>
      <c r="J119" s="13"/>
      <c r="K119" s="13">
        <f>300*(1.05+CALC!$A$2)</f>
        <v>333.00000000000006</v>
      </c>
      <c r="L119" s="13"/>
      <c r="M119" s="13">
        <f t="shared" si="21"/>
        <v>2771</v>
      </c>
      <c r="N119" s="14">
        <f>M119/CALC!$A$8*CALC!$A$6</f>
        <v>274.74729732633944</v>
      </c>
      <c r="O119" s="38">
        <f t="shared" si="22"/>
        <v>2771</v>
      </c>
      <c r="P119" s="31"/>
      <c r="Q119" s="21"/>
    </row>
    <row r="120" spans="1:17" x14ac:dyDescent="0.2">
      <c r="A120" s="12" t="s">
        <v>95</v>
      </c>
      <c r="B120" s="12" t="s">
        <v>177</v>
      </c>
      <c r="C120" s="19">
        <v>91</v>
      </c>
      <c r="D120" s="8"/>
      <c r="E120" s="30"/>
      <c r="F120" s="13"/>
      <c r="G120" s="13">
        <f>800*(1+CALC!$A$2)</f>
        <v>848</v>
      </c>
      <c r="H120" s="13">
        <f>1500*(1+CALC!$A$2)</f>
        <v>1590</v>
      </c>
      <c r="I120" s="13"/>
      <c r="J120" s="13"/>
      <c r="K120" s="37">
        <f>500*(1.05+CALC!$A$2)</f>
        <v>555</v>
      </c>
      <c r="L120" s="13"/>
      <c r="M120" s="13">
        <f t="shared" si="21"/>
        <v>2993</v>
      </c>
      <c r="N120" s="14">
        <f>M120/CALC!$A$8*CALC!$A$6</f>
        <v>296.7588094181645</v>
      </c>
      <c r="O120" s="38">
        <f t="shared" si="22"/>
        <v>2993</v>
      </c>
      <c r="P120" s="31"/>
      <c r="Q120" s="21"/>
    </row>
    <row r="121" spans="1:17" s="18" customFormat="1" x14ac:dyDescent="0.2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4240</v>
      </c>
      <c r="H121" s="14">
        <f t="shared" si="23"/>
        <v>7950</v>
      </c>
      <c r="I121" s="14">
        <f t="shared" si="23"/>
        <v>0</v>
      </c>
      <c r="J121" s="14"/>
      <c r="K121" s="14">
        <f t="shared" si="23"/>
        <v>2109</v>
      </c>
      <c r="L121" s="14">
        <f>SUM(L115:L120)</f>
        <v>0</v>
      </c>
      <c r="M121" s="14">
        <f>SUM(M115:M120)</f>
        <v>14299</v>
      </c>
      <c r="N121" s="14">
        <f>M121/CALC!$A$8*CALC!$A$6</f>
        <v>1417.7595108153473</v>
      </c>
      <c r="O121" s="14">
        <f>+M121+N121</f>
        <v>15716.759510815347</v>
      </c>
      <c r="P121" s="33"/>
      <c r="Q121" s="36"/>
    </row>
    <row r="122" spans="1:17" s="18" customFormat="1" ht="12" thickBot="1" x14ac:dyDescent="0.25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 x14ac:dyDescent="0.25">
      <c r="A123" s="42" t="s">
        <v>62</v>
      </c>
      <c r="B123" s="73" t="s">
        <v>14</v>
      </c>
      <c r="C123" s="74"/>
      <c r="D123" s="75">
        <f>+D16+D20+D21+D27+D28+D30+D35+D40+D46+D47+D55+D61+D67+D73+D81+D101+D111</f>
        <v>309810</v>
      </c>
      <c r="E123" s="283">
        <f>+E16+E20+E21+E27+E28+E30+E35+E40+E46+E47+E55+E61+E67+E73+E81+E101+E111</f>
        <v>2523508.5160301747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422876.13499999995</v>
      </c>
      <c r="H123" s="283">
        <f t="shared" si="24"/>
        <v>1372700</v>
      </c>
      <c r="I123" s="283">
        <f>+I16+I20+I21+I27+I28+I30+I35+I40+I46+I47+I55+I61+I67+I73+I81+I101+I111+I121</f>
        <v>2830301.4850000003</v>
      </c>
      <c r="J123" s="283">
        <f t="shared" si="24"/>
        <v>0</v>
      </c>
      <c r="K123" s="283">
        <f t="shared" si="24"/>
        <v>82578.45</v>
      </c>
      <c r="L123" s="283">
        <f t="shared" si="24"/>
        <v>0</v>
      </c>
      <c r="M123" s="283">
        <f t="shared" si="24"/>
        <v>7318964.586030174</v>
      </c>
      <c r="N123" s="283">
        <f t="shared" si="24"/>
        <v>725682.33101370675</v>
      </c>
      <c r="O123" s="283">
        <f t="shared" si="24"/>
        <v>8044646.9170438815</v>
      </c>
      <c r="P123" s="21"/>
      <c r="Q123" s="21"/>
    </row>
    <row r="124" spans="1:17" s="18" customFormat="1" ht="12" thickBot="1" x14ac:dyDescent="0.25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 x14ac:dyDescent="0.25">
      <c r="A125" s="330" t="s">
        <v>10</v>
      </c>
      <c r="B125" s="331" t="s">
        <v>154</v>
      </c>
      <c r="D125" s="542" t="s">
        <v>16</v>
      </c>
      <c r="E125" s="543"/>
      <c r="F125" s="544"/>
      <c r="Q125" s="21"/>
    </row>
    <row r="126" spans="1:17" x14ac:dyDescent="0.2">
      <c r="Q126" s="21"/>
    </row>
    <row r="127" spans="1:17" s="9" customFormat="1" x14ac:dyDescent="0.2">
      <c r="A127" s="61" t="s">
        <v>99</v>
      </c>
      <c r="B127" s="61" t="s">
        <v>125</v>
      </c>
      <c r="C127" s="54">
        <v>100</v>
      </c>
      <c r="D127" s="46">
        <v>100</v>
      </c>
      <c r="E127" s="62">
        <f>+D127/P127*(CALC!$A$4)</f>
        <v>500.00000000000006</v>
      </c>
      <c r="F127" s="37"/>
      <c r="G127" s="13">
        <f>800*(1+CALC!$A$2)</f>
        <v>848</v>
      </c>
      <c r="H127" s="13">
        <f>8000*(1+CALC!$A$2)</f>
        <v>8480</v>
      </c>
      <c r="I127" s="37">
        <v>0</v>
      </c>
      <c r="J127" s="37"/>
      <c r="K127" s="37">
        <f>300*(1.05+CALC!$A$2)</f>
        <v>333.00000000000006</v>
      </c>
      <c r="L127" s="37">
        <v>0</v>
      </c>
      <c r="M127" s="37">
        <f>SUM(E127:L127)</f>
        <v>10161</v>
      </c>
      <c r="N127" s="32">
        <f>M127/CALC!$A$8*CALC!$A$6</f>
        <v>1007.4728575001569</v>
      </c>
      <c r="O127" s="37">
        <f>+M127+N127</f>
        <v>11168.472857500157</v>
      </c>
      <c r="P127" s="48">
        <v>3</v>
      </c>
      <c r="Q127" s="49"/>
    </row>
    <row r="128" spans="1:17" s="18" customFormat="1" x14ac:dyDescent="0.2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500.00000000000006</v>
      </c>
      <c r="F128" s="14">
        <f t="shared" si="25"/>
        <v>0</v>
      </c>
      <c r="G128" s="14">
        <f t="shared" si="25"/>
        <v>848</v>
      </c>
      <c r="H128" s="14">
        <f t="shared" si="25"/>
        <v>8480</v>
      </c>
      <c r="I128" s="14">
        <f t="shared" si="25"/>
        <v>0</v>
      </c>
      <c r="J128" s="14"/>
      <c r="K128" s="14">
        <f>SUM(K127:K127)</f>
        <v>333.00000000000006</v>
      </c>
      <c r="L128" s="14">
        <f>SUM(L127:L127)</f>
        <v>0</v>
      </c>
      <c r="M128" s="14">
        <f>SUM(M127:M127)</f>
        <v>10161</v>
      </c>
      <c r="N128" s="14">
        <f>M128/CALC!$A$8*CALC!$A$6</f>
        <v>1007.4728575001569</v>
      </c>
      <c r="O128" s="14">
        <f>+M128+N128</f>
        <v>11168.472857500157</v>
      </c>
      <c r="P128" s="33"/>
      <c r="Q128" s="135">
        <f>(+O128/D128)*(1+CALC!$A$3)</f>
        <v>111.68472857500157</v>
      </c>
    </row>
    <row r="129" spans="1:18" s="18" customFormat="1" ht="12" thickBot="1" x14ac:dyDescent="0.25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18" s="18" customFormat="1" ht="12" thickBot="1" x14ac:dyDescent="0.25">
      <c r="A130" s="42" t="s">
        <v>63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195496.78732062542</v>
      </c>
      <c r="F130" s="283">
        <f t="shared" si="26"/>
        <v>12000</v>
      </c>
      <c r="G130" s="283">
        <f t="shared" si="26"/>
        <v>28429.740600000001</v>
      </c>
      <c r="H130" s="283">
        <f t="shared" si="26"/>
        <v>46640</v>
      </c>
      <c r="I130" s="283">
        <f t="shared" si="26"/>
        <v>171810.66999999998</v>
      </c>
      <c r="J130" s="283">
        <f t="shared" si="26"/>
        <v>0</v>
      </c>
      <c r="K130" s="283">
        <f t="shared" si="26"/>
        <v>3885</v>
      </c>
      <c r="L130" s="283">
        <f t="shared" si="26"/>
        <v>0</v>
      </c>
      <c r="M130" s="283">
        <f t="shared" si="26"/>
        <v>458262.19792062545</v>
      </c>
      <c r="N130" s="283">
        <f t="shared" si="26"/>
        <v>45437.134733136001</v>
      </c>
      <c r="O130" s="283">
        <f t="shared" si="26"/>
        <v>503699.33265376143</v>
      </c>
      <c r="P130" s="21"/>
      <c r="Q130" s="283">
        <f>+Q9+Q22+Q29+Q128</f>
        <v>116.42766497657416</v>
      </c>
    </row>
    <row r="131" spans="1:18" ht="12" thickBot="1" x14ac:dyDescent="0.25">
      <c r="Q131" s="21"/>
    </row>
    <row r="132" spans="1:18" s="18" customFormat="1" ht="12" thickBot="1" x14ac:dyDescent="0.25">
      <c r="A132" s="18" t="s">
        <v>21</v>
      </c>
      <c r="B132" s="73" t="s">
        <v>14</v>
      </c>
      <c r="C132" s="74"/>
      <c r="D132" s="75">
        <f t="shared" ref="D132:N132" si="27">+D123+D130</f>
        <v>377910</v>
      </c>
      <c r="E132" s="283">
        <f t="shared" si="27"/>
        <v>2719005.3033508002</v>
      </c>
      <c r="F132" s="283">
        <f t="shared" si="27"/>
        <v>99000</v>
      </c>
      <c r="G132" s="283">
        <f t="shared" si="27"/>
        <v>451305.87559999997</v>
      </c>
      <c r="H132" s="283">
        <f t="shared" si="27"/>
        <v>1419340</v>
      </c>
      <c r="I132" s="283">
        <f t="shared" si="27"/>
        <v>3002112.1550000003</v>
      </c>
      <c r="J132" s="283">
        <f t="shared" si="27"/>
        <v>0</v>
      </c>
      <c r="K132" s="283">
        <f t="shared" si="27"/>
        <v>86463.45</v>
      </c>
      <c r="L132" s="283">
        <f t="shared" si="27"/>
        <v>0</v>
      </c>
      <c r="M132" s="283">
        <f t="shared" si="27"/>
        <v>7777226.7839507991</v>
      </c>
      <c r="N132" s="283">
        <f t="shared" si="27"/>
        <v>771119.46574684279</v>
      </c>
      <c r="O132" s="283">
        <f>+M132+N132</f>
        <v>8548346.2496976424</v>
      </c>
      <c r="P132" s="21"/>
      <c r="Q132" s="21"/>
    </row>
    <row r="133" spans="1:18" x14ac:dyDescent="0.2">
      <c r="Q133" s="21"/>
    </row>
    <row r="134" spans="1:18" x14ac:dyDescent="0.2">
      <c r="D134" s="82"/>
      <c r="E134" s="535" t="s">
        <v>107</v>
      </c>
      <c r="F134" s="535"/>
      <c r="G134" s="535" t="s">
        <v>108</v>
      </c>
      <c r="H134" s="535" t="s">
        <v>109</v>
      </c>
      <c r="I134" s="535" t="s">
        <v>110</v>
      </c>
      <c r="J134" s="535" t="s">
        <v>113</v>
      </c>
      <c r="K134" s="535" t="s">
        <v>111</v>
      </c>
      <c r="L134" s="535" t="s">
        <v>1492</v>
      </c>
      <c r="M134" s="535"/>
      <c r="N134" s="535" t="s">
        <v>112</v>
      </c>
      <c r="O134" s="535" t="s">
        <v>1501</v>
      </c>
      <c r="P134" s="24"/>
      <c r="Q134" s="44"/>
      <c r="R134" s="11"/>
    </row>
    <row r="135" spans="1:18" x14ac:dyDescent="0.2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18" x14ac:dyDescent="0.2">
      <c r="A136" s="84" t="s">
        <v>1388</v>
      </c>
      <c r="B136" s="84"/>
      <c r="C136" s="86"/>
      <c r="D136" s="83">
        <f>+mayor!D43</f>
        <v>167832</v>
      </c>
      <c r="E136" s="536">
        <f>+mayor!E43</f>
        <v>307075.55439673772</v>
      </c>
      <c r="F136" s="536">
        <f>+mayor!F43</f>
        <v>21000</v>
      </c>
      <c r="G136" s="536">
        <f>+mayor!G43</f>
        <v>111374</v>
      </c>
      <c r="H136" s="536">
        <f>+mayor!H43</f>
        <v>102680</v>
      </c>
      <c r="I136" s="536">
        <f>+mayor!I43</f>
        <v>517697.82799999998</v>
      </c>
      <c r="J136" s="536">
        <f>+mayor!J43</f>
        <v>0</v>
      </c>
      <c r="K136" s="536">
        <f>+mayor!K43</f>
        <v>5661</v>
      </c>
      <c r="L136" s="536">
        <f>+mayor!L43</f>
        <v>0</v>
      </c>
      <c r="M136" s="536">
        <f>SUM(E136:L136)</f>
        <v>1065488.3823967376</v>
      </c>
      <c r="N136" s="536">
        <f>+mayor!N45</f>
        <v>105644.19104876107</v>
      </c>
      <c r="O136" s="536">
        <f>+M136+N136</f>
        <v>1171132.5734454987</v>
      </c>
      <c r="Q136" s="21"/>
    </row>
    <row r="137" spans="1:18" x14ac:dyDescent="0.2">
      <c r="A137" s="84" t="s">
        <v>48</v>
      </c>
      <c r="B137" s="84"/>
      <c r="C137" s="86"/>
      <c r="D137" s="83">
        <f>+income!D18</f>
        <v>60000</v>
      </c>
      <c r="E137" s="537">
        <f>+income!E16</f>
        <v>148425.78710644678</v>
      </c>
      <c r="F137" s="537">
        <f>+income!F16</f>
        <v>3000</v>
      </c>
      <c r="G137" s="537">
        <f>+income!G16</f>
        <v>5810.92</v>
      </c>
      <c r="H137" s="537">
        <f>+income!H16</f>
        <v>6360</v>
      </c>
      <c r="I137" s="537">
        <f>+income!I16</f>
        <v>35367.65</v>
      </c>
      <c r="J137" s="537">
        <f>+income!J16</f>
        <v>0</v>
      </c>
      <c r="K137" s="537">
        <f>+income!K16</f>
        <v>555</v>
      </c>
      <c r="L137" s="537">
        <f>+income!L16</f>
        <v>0</v>
      </c>
      <c r="M137" s="536">
        <f t="shared" ref="M137:M143" si="28">SUM(E137:L137)</f>
        <v>199519.35710644678</v>
      </c>
      <c r="N137" s="537">
        <f>+income!N15</f>
        <v>19782.534871629385</v>
      </c>
      <c r="O137" s="536">
        <f t="shared" ref="O137:O143" si="29">+M137+N137</f>
        <v>219301.89197807616</v>
      </c>
      <c r="Q137" s="21"/>
    </row>
    <row r="138" spans="1:18" x14ac:dyDescent="0.2">
      <c r="A138" s="84" t="s">
        <v>49</v>
      </c>
      <c r="B138" s="84"/>
      <c r="C138" s="86"/>
      <c r="D138" s="83">
        <f>+workshop!D22</f>
        <v>31300</v>
      </c>
      <c r="E138" s="537">
        <f>+workshop!E19</f>
        <v>75325.773027191986</v>
      </c>
      <c r="F138" s="537">
        <f>+workshop!F19</f>
        <v>12000</v>
      </c>
      <c r="G138" s="537">
        <f>+workshop!G19</f>
        <v>23320</v>
      </c>
      <c r="H138" s="537">
        <f>+workshop!H19</f>
        <v>25440</v>
      </c>
      <c r="I138" s="537">
        <f>+workshop!I19</f>
        <v>155280.29</v>
      </c>
      <c r="J138" s="537">
        <f>+workshop!J19</f>
        <v>0</v>
      </c>
      <c r="K138" s="537">
        <f>+workshop!K19</f>
        <v>2220</v>
      </c>
      <c r="L138" s="537">
        <f>+workshop!L19</f>
        <v>0</v>
      </c>
      <c r="M138" s="536">
        <f t="shared" si="28"/>
        <v>293586.06302719202</v>
      </c>
      <c r="N138" s="537">
        <f>+workshop!N19</f>
        <v>29109.338632046678</v>
      </c>
      <c r="O138" s="536">
        <f t="shared" si="29"/>
        <v>322695.40165923868</v>
      </c>
      <c r="Q138" s="21"/>
    </row>
    <row r="139" spans="1:18" x14ac:dyDescent="0.2">
      <c r="A139" s="84" t="s">
        <v>41</v>
      </c>
      <c r="B139" s="84"/>
      <c r="C139" s="86"/>
      <c r="D139" s="83">
        <f>+'COMMUNITY SERV'!D105</f>
        <v>740400</v>
      </c>
      <c r="E139" s="537">
        <f>+'COMMUNITY SERV'!E105</f>
        <v>3297606.0937436102</v>
      </c>
      <c r="F139" s="537">
        <f>+'COMMUNITY SERV'!F105</f>
        <v>87000</v>
      </c>
      <c r="G139" s="537">
        <f>+'COMMUNITY SERV'!G105</f>
        <v>282432.071</v>
      </c>
      <c r="H139" s="537">
        <f>+'COMMUNITY SERV'!H105</f>
        <v>685550.76</v>
      </c>
      <c r="I139" s="537">
        <f>+'COMMUNITY SERV'!I105</f>
        <v>1942810.0249999999</v>
      </c>
      <c r="J139" s="537">
        <f>+'COMMUNITY SERV'!J105</f>
        <v>0</v>
      </c>
      <c r="K139" s="537">
        <f>+'COMMUNITY SERV'!K105</f>
        <v>132185.79999999999</v>
      </c>
      <c r="L139" s="537">
        <f>+'COMMUNITY SERV'!L105</f>
        <v>0</v>
      </c>
      <c r="M139" s="536">
        <f t="shared" si="28"/>
        <v>6427584.7497436097</v>
      </c>
      <c r="N139" s="537">
        <f>+'COMMUNITY SERV'!N102</f>
        <v>627766.55564893922</v>
      </c>
      <c r="O139" s="536">
        <f t="shared" si="29"/>
        <v>7055351.3053925484</v>
      </c>
      <c r="Q139" s="21"/>
    </row>
    <row r="140" spans="1:18" hidden="1" x14ac:dyDescent="0.2">
      <c r="A140" s="84" t="s">
        <v>237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18" x14ac:dyDescent="0.2">
      <c r="A141" s="84" t="s">
        <v>20</v>
      </c>
      <c r="B141" s="84"/>
      <c r="C141" s="86"/>
      <c r="D141" s="83">
        <f>+EEM!D95</f>
        <v>688400</v>
      </c>
      <c r="E141" s="537">
        <f>+EEM!E95</f>
        <v>2341815.7686198787</v>
      </c>
      <c r="F141" s="537">
        <f>+EEM!F95</f>
        <v>6000</v>
      </c>
      <c r="G141" s="537">
        <f>+EEM!G95</f>
        <v>190113.94680000003</v>
      </c>
      <c r="H141" s="537">
        <f>+EEM!H95</f>
        <v>559680</v>
      </c>
      <c r="I141" s="537">
        <f>+EEM!I95</f>
        <v>2082826.9300000002</v>
      </c>
      <c r="J141" s="537">
        <f>+EEM!J95</f>
        <v>0</v>
      </c>
      <c r="K141" s="537">
        <f>+EEM!K95</f>
        <v>70512.75</v>
      </c>
      <c r="L141" s="537">
        <f>+EEM!L95</f>
        <v>0</v>
      </c>
      <c r="M141" s="536">
        <f t="shared" si="28"/>
        <v>5250949.3954198789</v>
      </c>
      <c r="N141" s="537">
        <f>+EEM!N92</f>
        <v>529560.23513112892</v>
      </c>
      <c r="O141" s="536">
        <f t="shared" si="29"/>
        <v>5780509.6305510076</v>
      </c>
      <c r="Q141" s="21"/>
    </row>
    <row r="142" spans="1:18" x14ac:dyDescent="0.2">
      <c r="A142" s="84" t="s">
        <v>21</v>
      </c>
      <c r="B142" s="84"/>
      <c r="C142" s="86"/>
      <c r="D142" s="83">
        <f>+D150</f>
        <v>377910</v>
      </c>
      <c r="E142" s="537">
        <f>+E150</f>
        <v>2719005.3033508002</v>
      </c>
      <c r="F142" s="537">
        <f t="shared" ref="F142:L142" si="30">+F150</f>
        <v>99000</v>
      </c>
      <c r="G142" s="537">
        <f t="shared" si="30"/>
        <v>451305.87559999997</v>
      </c>
      <c r="H142" s="537">
        <f t="shared" si="30"/>
        <v>1419340</v>
      </c>
      <c r="I142" s="537">
        <f t="shared" si="30"/>
        <v>3002112.1550000003</v>
      </c>
      <c r="J142" s="537">
        <f t="shared" si="30"/>
        <v>0</v>
      </c>
      <c r="K142" s="537">
        <f t="shared" si="30"/>
        <v>86463.45</v>
      </c>
      <c r="L142" s="537">
        <f t="shared" si="30"/>
        <v>0</v>
      </c>
      <c r="M142" s="536">
        <f t="shared" si="28"/>
        <v>7777226.7839508001</v>
      </c>
      <c r="N142" s="537">
        <f t="shared" ref="N142" si="31">+N132</f>
        <v>771119.46574684279</v>
      </c>
      <c r="O142" s="536">
        <f t="shared" si="29"/>
        <v>8548346.2496976424</v>
      </c>
      <c r="Q142" s="21"/>
    </row>
    <row r="143" spans="1:18" ht="12" x14ac:dyDescent="0.2">
      <c r="A143" s="84" t="s">
        <v>22</v>
      </c>
      <c r="B143" s="84"/>
      <c r="C143" s="86"/>
      <c r="D143" s="83">
        <f>+MDC!D93</f>
        <v>441600</v>
      </c>
      <c r="E143" s="537">
        <f>+MDC!E93</f>
        <v>2426200.444617752</v>
      </c>
      <c r="F143" s="537">
        <f>+MDC!F93</f>
        <v>66000</v>
      </c>
      <c r="G143" s="537">
        <f>+MDC!G93</f>
        <v>138502.09100000001</v>
      </c>
      <c r="H143" s="537">
        <f>+MDC!H93</f>
        <v>405980</v>
      </c>
      <c r="I143" s="537">
        <f>+MDC!I93</f>
        <v>1118635.9650000003</v>
      </c>
      <c r="J143" s="537">
        <f>+MDC!J93</f>
        <v>0</v>
      </c>
      <c r="K143" s="537">
        <f>+MDC!K93</f>
        <v>44405.55</v>
      </c>
      <c r="L143" s="537">
        <f>+MDC!L93</f>
        <v>0</v>
      </c>
      <c r="M143" s="536">
        <f t="shared" si="28"/>
        <v>4199724.0506177526</v>
      </c>
      <c r="N143" s="537">
        <f>+MDC!N87</f>
        <v>416406.65190315922</v>
      </c>
      <c r="O143" s="536">
        <f t="shared" si="29"/>
        <v>4616130.7025209116</v>
      </c>
      <c r="Q143" s="282"/>
    </row>
    <row r="144" spans="1:18" x14ac:dyDescent="0.2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 x14ac:dyDescent="0.2">
      <c r="A145" s="78" t="s">
        <v>23</v>
      </c>
      <c r="B145" s="78"/>
      <c r="C145" s="79"/>
      <c r="D145" s="80">
        <f>SUM(D136:D144)</f>
        <v>2507442</v>
      </c>
      <c r="E145" s="538">
        <f t="shared" ref="E145:L145" si="32">SUM(E136:E144)</f>
        <v>11315454.724862417</v>
      </c>
      <c r="F145" s="538">
        <f>SUM(F136:F144)</f>
        <v>294000</v>
      </c>
      <c r="G145" s="538">
        <f t="shared" si="32"/>
        <v>1202858.9043999999</v>
      </c>
      <c r="H145" s="538">
        <f t="shared" si="32"/>
        <v>3205030.76</v>
      </c>
      <c r="I145" s="538">
        <f t="shared" si="32"/>
        <v>8854730.8430000003</v>
      </c>
      <c r="J145" s="538">
        <f t="shared" si="32"/>
        <v>0</v>
      </c>
      <c r="K145" s="538">
        <f t="shared" si="32"/>
        <v>342003.55</v>
      </c>
      <c r="L145" s="538">
        <f t="shared" si="32"/>
        <v>0</v>
      </c>
      <c r="M145" s="538">
        <f>SUM(M136:M144)</f>
        <v>25214078.782262422</v>
      </c>
      <c r="N145" s="538">
        <f>SUM(N136:N144)</f>
        <v>2499388.9729825072</v>
      </c>
      <c r="O145" s="538">
        <f>SUM(O136:O144)</f>
        <v>27713467.755244922</v>
      </c>
      <c r="P145" s="45"/>
      <c r="Q145" s="34"/>
    </row>
    <row r="146" spans="1:22" s="15" customFormat="1" x14ac:dyDescent="0.2">
      <c r="C146" s="29"/>
      <c r="D146" s="29"/>
      <c r="Q146" s="21"/>
    </row>
    <row r="147" spans="1:22" s="45" customFormat="1" x14ac:dyDescent="0.2">
      <c r="C147" s="98"/>
      <c r="D147" s="98"/>
      <c r="M147" s="105">
        <f>12465019.09*1.06</f>
        <v>13212920.235400001</v>
      </c>
      <c r="O147" s="45">
        <f>+N145+M147</f>
        <v>15712309.208382508</v>
      </c>
      <c r="Q147" s="34"/>
      <c r="S147" s="45">
        <v>20913644.23</v>
      </c>
      <c r="T147" s="45">
        <f>S147*1.06</f>
        <v>22168462.8838</v>
      </c>
      <c r="U147" s="45">
        <f>SUM(O136:O142)</f>
        <v>23097337.052724011</v>
      </c>
      <c r="V147" s="45">
        <f>U147-T147</f>
        <v>928874.16892401129</v>
      </c>
    </row>
    <row r="148" spans="1:22" ht="12" thickBot="1" x14ac:dyDescent="0.25">
      <c r="M148" s="15">
        <f>+M147-M145</f>
        <v>-12001158.546862422</v>
      </c>
      <c r="O148" s="15"/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4616130.7025209116</v>
      </c>
      <c r="V148" s="28">
        <f>U148-T148</f>
        <v>457986.11792091141</v>
      </c>
    </row>
    <row r="149" spans="1:22" ht="12" thickBot="1" x14ac:dyDescent="0.25">
      <c r="E149" s="28"/>
      <c r="H149" s="64"/>
      <c r="M149" s="411">
        <f>+O155</f>
        <v>25184155.907000002</v>
      </c>
      <c r="N149" s="59"/>
      <c r="O149" s="15">
        <f>+M149+N145</f>
        <v>27683544.879982509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 x14ac:dyDescent="0.2">
      <c r="D150" s="17">
        <f>+D9+D16+D23+D31+D36+D41+D48+D55+D61+D67+D73+D81+D101+D111+D121+D128</f>
        <v>377910</v>
      </c>
      <c r="E150" s="17">
        <f t="shared" ref="E150:L150" si="34">+E9+E16+E23+E31+E36+E41+E48+E55+E61+E67+E73+E81+E101+E111+E121+E128</f>
        <v>2719005.3033508002</v>
      </c>
      <c r="F150" s="17">
        <f>+F9+F16+F23+F31+F36+F41+F48+F55+F61+F67+F73+F81+F101+F111+F121+F128</f>
        <v>99000</v>
      </c>
      <c r="G150" s="407">
        <f>+G9+G16+G23+G31+G36+G41+G48+G55+G61+G67+G73+G81+G101+G111+G121+G128</f>
        <v>451305.87559999997</v>
      </c>
      <c r="H150" s="407">
        <f>+H9+H16+H23+H31+H36+H41+H48+H55+H61+H67+H73+H81+H101+H111+H121+H128</f>
        <v>1419340</v>
      </c>
      <c r="I150" s="407">
        <f>+I9+I16+I23+I31+I36+I41+I48+I55+I61+I67+I73+I81</f>
        <v>3002112.1550000003</v>
      </c>
      <c r="J150" s="17">
        <f>+J9+J16+J23+J31+J36+J41+J48+J55+J61+J67+J73+J81+J101+J111+J121+J128</f>
        <v>0</v>
      </c>
      <c r="K150" s="17">
        <f t="shared" si="34"/>
        <v>86463.45</v>
      </c>
      <c r="L150" s="17">
        <f t="shared" si="34"/>
        <v>0</v>
      </c>
      <c r="M150" s="15"/>
      <c r="O150" s="15"/>
      <c r="Q150" s="21"/>
    </row>
    <row r="151" spans="1:22" x14ac:dyDescent="0.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-29922.875262420624</v>
      </c>
      <c r="O151" s="15"/>
      <c r="Q151" s="21"/>
    </row>
    <row r="152" spans="1:22" x14ac:dyDescent="0.2">
      <c r="I152" s="64">
        <f>-I55</f>
        <v>-538137.07499999995</v>
      </c>
      <c r="M152" s="15"/>
      <c r="O152" s="15">
        <v>23984910.34</v>
      </c>
      <c r="Q152" s="21"/>
    </row>
    <row r="153" spans="1:22" x14ac:dyDescent="0.2">
      <c r="M153" s="15">
        <f>23297994.53*5%</f>
        <v>1164899.7265000001</v>
      </c>
      <c r="O153" s="15">
        <v>0.05</v>
      </c>
      <c r="Q153" s="21"/>
    </row>
    <row r="154" spans="1:22" x14ac:dyDescent="0.2">
      <c r="M154" s="15"/>
      <c r="O154" s="15">
        <f>+O152*O153</f>
        <v>1199245.517</v>
      </c>
      <c r="Q154" s="21"/>
    </row>
    <row r="155" spans="1:22" x14ac:dyDescent="0.2">
      <c r="I155" s="15"/>
      <c r="M155" s="15"/>
      <c r="O155" s="15">
        <f>SUM(O152:O154)</f>
        <v>25184155.907000002</v>
      </c>
      <c r="Q155" s="21"/>
    </row>
    <row r="156" spans="1:22" x14ac:dyDescent="0.2">
      <c r="I156" s="15"/>
      <c r="M156" s="15">
        <f>+M145-M154</f>
        <v>25214078.782262422</v>
      </c>
      <c r="O156" s="15">
        <v>303610</v>
      </c>
      <c r="Q156" s="21"/>
    </row>
    <row r="157" spans="1:22" x14ac:dyDescent="0.2">
      <c r="I157" s="15"/>
      <c r="M157" s="15"/>
      <c r="O157" s="15">
        <v>0.05</v>
      </c>
      <c r="Q157" s="21"/>
    </row>
    <row r="158" spans="1:22" x14ac:dyDescent="0.2">
      <c r="I158" s="15"/>
      <c r="O158" s="15">
        <f>+O156*O157</f>
        <v>15180.5</v>
      </c>
      <c r="Q158" s="21"/>
    </row>
    <row r="159" spans="1:22" x14ac:dyDescent="0.2">
      <c r="E159" s="15"/>
      <c r="I159" s="15"/>
      <c r="O159" s="15">
        <f>SUM(O156:O158)</f>
        <v>318790.55</v>
      </c>
      <c r="Q159" s="21"/>
    </row>
    <row r="160" spans="1:22" x14ac:dyDescent="0.2">
      <c r="E160" s="15"/>
      <c r="Q160" s="21"/>
    </row>
    <row r="161" spans="5:17" x14ac:dyDescent="0.2">
      <c r="E161" s="15"/>
      <c r="Q161" s="21"/>
    </row>
    <row r="162" spans="5:17" x14ac:dyDescent="0.2">
      <c r="Q162" s="21"/>
    </row>
    <row r="163" spans="5:17" x14ac:dyDescent="0.2">
      <c r="Q163" s="21"/>
    </row>
    <row r="164" spans="5:17" x14ac:dyDescent="0.2">
      <c r="Q164" s="21"/>
    </row>
    <row r="165" spans="5:17" x14ac:dyDescent="0.2">
      <c r="H165" s="2">
        <v>1560656</v>
      </c>
      <c r="Q165" s="21"/>
    </row>
    <row r="166" spans="5:17" x14ac:dyDescent="0.2">
      <c r="H166" s="2">
        <f>+H165*4.5%</f>
        <v>70229.52</v>
      </c>
      <c r="Q166" s="21"/>
    </row>
    <row r="167" spans="5:17" x14ac:dyDescent="0.2">
      <c r="Q167" s="21"/>
    </row>
    <row r="168" spans="5:17" x14ac:dyDescent="0.2">
      <c r="Q168" s="21"/>
    </row>
    <row r="169" spans="5:17" x14ac:dyDescent="0.2">
      <c r="Q169" s="21"/>
    </row>
    <row r="170" spans="5:17" x14ac:dyDescent="0.2">
      <c r="Q170" s="21"/>
    </row>
    <row r="171" spans="5:17" x14ac:dyDescent="0.2">
      <c r="Q171" s="21"/>
    </row>
    <row r="172" spans="5:17" x14ac:dyDescent="0.2">
      <c r="Q172" s="21"/>
    </row>
    <row r="173" spans="5:17" x14ac:dyDescent="0.2">
      <c r="Q173" s="21"/>
    </row>
    <row r="174" spans="5:17" x14ac:dyDescent="0.2">
      <c r="Q174" s="21"/>
    </row>
    <row r="175" spans="5:17" x14ac:dyDescent="0.2">
      <c r="Q175" s="21"/>
    </row>
    <row r="176" spans="5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</sheetData>
  <sortState ref="A87:U101">
    <sortCondition ref="C87:C101"/>
  </sortState>
  <customSheetViews>
    <customSheetView guid="{6DF61089-79B2-41AA-A0E5-3D263EEF5CE4}" showPageBreaks="1" printArea="1" hiddenRows="1" view="pageBreakPreview">
      <pane xSplit="3" ySplit="3" topLeftCell="D44" activePane="bottomRight" state="frozen"/>
      <selection pane="bottomRight" activeCell="J55" sqref="J55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1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DF69299D-7752-4436-A45D-28F739CEE21B}" showPageBreaks="1" printArea="1" hiddenRows="1" view="pageBreakPreview">
      <pane xSplit="3" ySplit="3" topLeftCell="L128" activePane="bottomRight" state="frozen"/>
      <selection pane="bottomRight" activeCell="N77" sqref="N77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8" scale="74" orientation="landscape" r:id="rId4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D84" sqref="D84"/>
    </sheetView>
  </sheetViews>
  <sheetFormatPr defaultColWidth="9.140625" defaultRowHeight="11.25" x14ac:dyDescent="0.2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8" width="11.28515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 x14ac:dyDescent="0.2">
      <c r="A1" s="18" t="s">
        <v>1499</v>
      </c>
      <c r="D1" s="17" t="s">
        <v>22</v>
      </c>
      <c r="O1" s="2" t="s">
        <v>1486</v>
      </c>
    </row>
    <row r="3" spans="1:20" s="152" customFormat="1" ht="27" x14ac:dyDescent="0.15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178</v>
      </c>
      <c r="F3" s="352" t="s">
        <v>1503</v>
      </c>
      <c r="G3" s="352" t="s">
        <v>179</v>
      </c>
      <c r="H3" s="352" t="s">
        <v>180</v>
      </c>
      <c r="I3" s="352" t="s">
        <v>185</v>
      </c>
      <c r="J3" s="352" t="s">
        <v>181</v>
      </c>
      <c r="K3" s="352" t="s">
        <v>182</v>
      </c>
      <c r="L3" s="353" t="str">
        <f>+mayor!L3</f>
        <v>INTEREST</v>
      </c>
      <c r="M3" s="354" t="s">
        <v>12</v>
      </c>
      <c r="N3" s="352" t="s">
        <v>184</v>
      </c>
      <c r="O3" s="352" t="s">
        <v>183</v>
      </c>
      <c r="P3" s="355" t="s">
        <v>86</v>
      </c>
      <c r="Q3" s="356" t="s">
        <v>11</v>
      </c>
    </row>
    <row r="4" spans="1:20" s="10" customFormat="1" ht="12" thickBot="1" x14ac:dyDescent="0.25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>
      <c r="A5" s="330" t="s">
        <v>10</v>
      </c>
      <c r="B5" s="331" t="s">
        <v>500</v>
      </c>
      <c r="D5" s="542" t="s">
        <v>673</v>
      </c>
      <c r="E5" s="543"/>
      <c r="F5" s="544"/>
      <c r="Q5" s="21"/>
      <c r="R5" s="11"/>
      <c r="S5" s="11"/>
      <c r="T5" s="11"/>
    </row>
    <row r="6" spans="1:20" x14ac:dyDescent="0.2">
      <c r="Q6" s="21"/>
      <c r="R6" s="11"/>
      <c r="S6" s="11"/>
      <c r="T6" s="11"/>
    </row>
    <row r="7" spans="1:20" s="9" customFormat="1" x14ac:dyDescent="0.2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44977.511244377813</v>
      </c>
      <c r="F7" s="37">
        <v>3000</v>
      </c>
      <c r="G7" s="37">
        <f>5482*(1+CALC!$A$2)</f>
        <v>5810.92</v>
      </c>
      <c r="H7" s="37">
        <f>6000*(1+CALC!$A$2)</f>
        <v>6360</v>
      </c>
      <c r="I7" s="37">
        <v>35367.65</v>
      </c>
      <c r="J7" s="37"/>
      <c r="K7" s="37">
        <f>500*(1.05+CALC!$A$2)</f>
        <v>555</v>
      </c>
      <c r="L7" s="37"/>
      <c r="M7" s="37">
        <f>SUM(E7:L7)</f>
        <v>96071.081244377812</v>
      </c>
      <c r="N7" s="32">
        <f>M7/CALC!$A$8*CALC!$A$6</f>
        <v>9525.5394886726754</v>
      </c>
      <c r="O7" s="37">
        <f>+M7+N7</f>
        <v>105596.62073305048</v>
      </c>
      <c r="P7" s="48">
        <v>6.67</v>
      </c>
      <c r="Q7" s="49"/>
      <c r="R7" s="25"/>
      <c r="S7" s="25"/>
      <c r="T7" s="25"/>
    </row>
    <row r="8" spans="1:20" s="9" customFormat="1" x14ac:dyDescent="0.2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67466.266866566715</v>
      </c>
      <c r="F8" s="37">
        <v>3000</v>
      </c>
      <c r="G8" s="37">
        <f>5482*(1+CALC!$A$2)</f>
        <v>5810.92</v>
      </c>
      <c r="H8" s="37">
        <f>6000*(1+CALC!$A$2)</f>
        <v>6360</v>
      </c>
      <c r="I8" s="37">
        <v>35367.65</v>
      </c>
      <c r="J8" s="37"/>
      <c r="K8" s="37">
        <f>500*(1.05+CALC!$A$2)</f>
        <v>555</v>
      </c>
      <c r="L8" s="37"/>
      <c r="M8" s="37">
        <f t="shared" ref="M8:M14" si="0">SUM(E8:L8)</f>
        <v>118559.83686656671</v>
      </c>
      <c r="N8" s="32">
        <f>M8/CALC!$A$8*CALC!$A$6</f>
        <v>11755.321093663262</v>
      </c>
      <c r="O8" s="37">
        <f t="shared" ref="O8:O14" si="1">+M8+N8</f>
        <v>130315.15796022998</v>
      </c>
      <c r="P8" s="48">
        <v>6.67</v>
      </c>
      <c r="Q8" s="49"/>
      <c r="R8" s="25"/>
      <c r="S8" s="25"/>
      <c r="T8" s="25"/>
    </row>
    <row r="9" spans="1:20" s="9" customFormat="1" x14ac:dyDescent="0.2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67466.266866566715</v>
      </c>
      <c r="F9" s="37">
        <v>3000</v>
      </c>
      <c r="G9" s="37">
        <f>5482*(1+CALC!$A$2)</f>
        <v>5810.92</v>
      </c>
      <c r="H9" s="37">
        <f>6000*(1+CALC!$A$2)</f>
        <v>6360</v>
      </c>
      <c r="I9" s="37">
        <v>35367.65</v>
      </c>
      <c r="J9" s="37"/>
      <c r="K9" s="37">
        <f>500*(1.05+CALC!$A$2)</f>
        <v>555</v>
      </c>
      <c r="L9" s="37"/>
      <c r="M9" s="37">
        <f t="shared" si="0"/>
        <v>118559.83686656671</v>
      </c>
      <c r="N9" s="32">
        <f>M9/CALC!$A$8*CALC!$A$6</f>
        <v>11755.321093663262</v>
      </c>
      <c r="O9" s="37">
        <f t="shared" si="1"/>
        <v>130315.15796022998</v>
      </c>
      <c r="P9" s="48">
        <v>6.67</v>
      </c>
      <c r="Q9" s="49"/>
      <c r="R9" s="25"/>
      <c r="S9" s="25"/>
      <c r="T9" s="25"/>
    </row>
    <row r="10" spans="1:20" s="9" customFormat="1" x14ac:dyDescent="0.2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67466.266866566715</v>
      </c>
      <c r="F10" s="37">
        <v>3000</v>
      </c>
      <c r="G10" s="37">
        <f>5482*(1+CALC!$A$2)</f>
        <v>5810.92</v>
      </c>
      <c r="H10" s="37">
        <f>6000*(1+CALC!$A$2)</f>
        <v>6360</v>
      </c>
      <c r="I10" s="37">
        <v>35367.65</v>
      </c>
      <c r="J10" s="37"/>
      <c r="K10" s="37">
        <f>500*(1.05+CALC!$A$2)</f>
        <v>555</v>
      </c>
      <c r="L10" s="37"/>
      <c r="M10" s="37">
        <f t="shared" si="0"/>
        <v>118559.83686656671</v>
      </c>
      <c r="N10" s="32">
        <f>M10/CALC!$A$8*CALC!$A$6</f>
        <v>11755.321093663262</v>
      </c>
      <c r="O10" s="37">
        <f t="shared" si="1"/>
        <v>130315.15796022998</v>
      </c>
      <c r="P10" s="48">
        <v>6.67</v>
      </c>
      <c r="Q10" s="49"/>
      <c r="R10" s="25"/>
      <c r="S10" s="25"/>
      <c r="T10" s="25"/>
    </row>
    <row r="11" spans="1:20" s="9" customFormat="1" x14ac:dyDescent="0.2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67466.266866566715</v>
      </c>
      <c r="F11" s="37">
        <v>3000</v>
      </c>
      <c r="G11" s="37">
        <f>5482*(1+CALC!$A$2)</f>
        <v>5810.92</v>
      </c>
      <c r="H11" s="37">
        <f>6000*(1+CALC!$A$2)</f>
        <v>6360</v>
      </c>
      <c r="I11" s="37">
        <v>35367.65</v>
      </c>
      <c r="J11" s="37"/>
      <c r="K11" s="37">
        <f>500*(1.05+CALC!$A$2)</f>
        <v>555</v>
      </c>
      <c r="L11" s="37"/>
      <c r="M11" s="37">
        <f t="shared" si="0"/>
        <v>118559.83686656671</v>
      </c>
      <c r="N11" s="32">
        <f>M11/CALC!$A$8*CALC!$A$6</f>
        <v>11755.321093663262</v>
      </c>
      <c r="O11" s="37">
        <f t="shared" si="1"/>
        <v>130315.15796022998</v>
      </c>
      <c r="P11" s="48">
        <v>6.67</v>
      </c>
      <c r="Q11" s="49"/>
      <c r="R11" s="25"/>
      <c r="S11" s="25"/>
      <c r="T11" s="25"/>
    </row>
    <row r="12" spans="1:20" s="9" customFormat="1" x14ac:dyDescent="0.2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17991.004497751124</v>
      </c>
      <c r="F12" s="37">
        <v>3000</v>
      </c>
      <c r="G12" s="37">
        <f>5482*(1+CALC!$A$2)</f>
        <v>5810.92</v>
      </c>
      <c r="H12" s="37">
        <f>6000*(1+CALC!$A$2)</f>
        <v>6360</v>
      </c>
      <c r="I12" s="37">
        <v>35367.65</v>
      </c>
      <c r="J12" s="37"/>
      <c r="K12" s="37">
        <f>500*(1.05+CALC!$A$2)</f>
        <v>555</v>
      </c>
      <c r="L12" s="37"/>
      <c r="M12" s="37">
        <f t="shared" si="0"/>
        <v>69084.574497751135</v>
      </c>
      <c r="N12" s="32">
        <f>M12/CALC!$A$8*CALC!$A$6</f>
        <v>6849.8015626839688</v>
      </c>
      <c r="O12" s="37">
        <f t="shared" si="1"/>
        <v>75934.376060435097</v>
      </c>
      <c r="P12" s="48">
        <v>6.67</v>
      </c>
      <c r="Q12" s="49"/>
      <c r="R12" s="25"/>
      <c r="S12" s="25"/>
      <c r="T12" s="25"/>
    </row>
    <row r="13" spans="1:20" s="9" customFormat="1" x14ac:dyDescent="0.2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44977.511244377813</v>
      </c>
      <c r="F13" s="37">
        <v>3000</v>
      </c>
      <c r="G13" s="37">
        <f>5482*(1+CALC!$A$2)</f>
        <v>5810.92</v>
      </c>
      <c r="H13" s="37">
        <f>6000*(1+CALC!$A$2)</f>
        <v>6360</v>
      </c>
      <c r="I13" s="37">
        <v>35367.65</v>
      </c>
      <c r="J13" s="37"/>
      <c r="K13" s="37">
        <f>500*(1.05+CALC!$A$2)</f>
        <v>555</v>
      </c>
      <c r="L13" s="37"/>
      <c r="M13" s="37">
        <f t="shared" si="0"/>
        <v>96071.081244377812</v>
      </c>
      <c r="N13" s="32">
        <f>M13/CALC!$A$8*CALC!$A$6</f>
        <v>9525.5394886726754</v>
      </c>
      <c r="O13" s="37">
        <f t="shared" si="1"/>
        <v>105596.62073305048</v>
      </c>
      <c r="P13" s="48">
        <v>6.67</v>
      </c>
      <c r="Q13" s="49"/>
      <c r="R13" s="25"/>
      <c r="S13" s="25"/>
      <c r="T13" s="25"/>
    </row>
    <row r="14" spans="1:20" s="9" customFormat="1" x14ac:dyDescent="0.2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44977.511244377813</v>
      </c>
      <c r="F14" s="37">
        <v>3000</v>
      </c>
      <c r="G14" s="37">
        <f>5482*(1+CALC!$A$2)</f>
        <v>5810.92</v>
      </c>
      <c r="H14" s="37">
        <f>6000*(1+CALC!$A$2)</f>
        <v>6360</v>
      </c>
      <c r="I14" s="37">
        <v>35367.65</v>
      </c>
      <c r="J14" s="37"/>
      <c r="K14" s="37">
        <f>500*(1.05+CALC!$A$2)</f>
        <v>555</v>
      </c>
      <c r="L14" s="37"/>
      <c r="M14" s="37">
        <f t="shared" si="0"/>
        <v>96071.081244377812</v>
      </c>
      <c r="N14" s="32">
        <f>M14/CALC!$A$8*CALC!$A$6</f>
        <v>9525.5394886726754</v>
      </c>
      <c r="O14" s="37">
        <f t="shared" si="1"/>
        <v>105596.62073305048</v>
      </c>
      <c r="P14" s="48">
        <v>6.67</v>
      </c>
      <c r="Q14" s="49"/>
      <c r="R14" s="25"/>
      <c r="S14" s="25"/>
      <c r="T14" s="25"/>
    </row>
    <row r="15" spans="1:20" s="9" customFormat="1" x14ac:dyDescent="0.2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17991.004497751124</v>
      </c>
      <c r="F15" s="37">
        <v>3000</v>
      </c>
      <c r="G15" s="37">
        <f>5482*(1+CALC!$A$2)</f>
        <v>5810.92</v>
      </c>
      <c r="H15" s="37">
        <f>6000*(1+CALC!$A$2)</f>
        <v>6360</v>
      </c>
      <c r="I15" s="37">
        <v>35367.65</v>
      </c>
      <c r="J15" s="37"/>
      <c r="K15" s="37">
        <f>500*(1.05+CALC!$A$2)</f>
        <v>555</v>
      </c>
      <c r="L15" s="37"/>
      <c r="M15" s="37">
        <f>SUM(E15:L15)</f>
        <v>69084.574497751135</v>
      </c>
      <c r="N15" s="32">
        <f>M15/CALC!$A$8*CALC!$A$6</f>
        <v>6849.8015626839688</v>
      </c>
      <c r="O15" s="37">
        <f>+M15+N15</f>
        <v>75934.376060435097</v>
      </c>
      <c r="P15" s="48">
        <v>6.67</v>
      </c>
      <c r="Q15" s="49"/>
      <c r="R15" s="25"/>
      <c r="S15" s="25"/>
      <c r="T15" s="25"/>
    </row>
    <row r="16" spans="1:20" s="9" customFormat="1" x14ac:dyDescent="0.2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44977.511244377813</v>
      </c>
      <c r="F16" s="37">
        <v>3000</v>
      </c>
      <c r="G16" s="37">
        <f>5482*(1+CALC!$A$2)</f>
        <v>5810.92</v>
      </c>
      <c r="H16" s="37">
        <f>6000*(1+CALC!$A$2)</f>
        <v>6360</v>
      </c>
      <c r="I16" s="37">
        <v>35367.65</v>
      </c>
      <c r="J16" s="37"/>
      <c r="K16" s="37">
        <f>500*(1.05+CALC!$A$2)</f>
        <v>555</v>
      </c>
      <c r="L16" s="37"/>
      <c r="M16" s="37">
        <f>SUM(E16:L16)</f>
        <v>96071.081244377812</v>
      </c>
      <c r="N16" s="32">
        <f>M16/CALC!$A$8*CALC!$A$6</f>
        <v>9525.5394886726754</v>
      </c>
      <c r="O16" s="37">
        <f>+M16+N16</f>
        <v>105596.62073305048</v>
      </c>
      <c r="P16" s="48">
        <v>6.67</v>
      </c>
      <c r="Q16" s="49"/>
    </row>
    <row r="17" spans="1:20" x14ac:dyDescent="0.2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 x14ac:dyDescent="0.2">
      <c r="A18" s="35"/>
      <c r="B18" s="4" t="s">
        <v>14</v>
      </c>
      <c r="C18" s="26"/>
      <c r="D18" s="16">
        <f>SUM(D7:D17)</f>
        <v>216000</v>
      </c>
      <c r="E18" s="14">
        <f>SUM(E7:E17)</f>
        <v>485757.1214392804</v>
      </c>
      <c r="F18" s="14">
        <f t="shared" ref="F18:K18" si="2">SUM(F7:F17)</f>
        <v>30000</v>
      </c>
      <c r="G18" s="14">
        <f t="shared" si="2"/>
        <v>58109.19999999999</v>
      </c>
      <c r="H18" s="14">
        <f t="shared" si="2"/>
        <v>63600</v>
      </c>
      <c r="I18" s="14">
        <f t="shared" si="2"/>
        <v>353676.50000000006</v>
      </c>
      <c r="J18" s="14">
        <f t="shared" si="2"/>
        <v>0</v>
      </c>
      <c r="K18" s="14">
        <f t="shared" si="2"/>
        <v>5550</v>
      </c>
      <c r="L18" s="14">
        <f>SUM(L7:L17)</f>
        <v>0</v>
      </c>
      <c r="M18" s="14">
        <f>SUM(M7:M17)</f>
        <v>996692.82143928029</v>
      </c>
      <c r="N18" s="14">
        <f>M18/CALC!$A$8*CALC!$A$6</f>
        <v>98823.045454711682</v>
      </c>
      <c r="O18" s="14">
        <f>+M18+N18</f>
        <v>1095515.8668939921</v>
      </c>
      <c r="P18" s="33"/>
      <c r="Q18" s="135">
        <f>(+O18/D18)*(1+CALC!$A$3)</f>
        <v>5.0718327171018149</v>
      </c>
      <c r="R18" s="35"/>
      <c r="S18" s="35"/>
      <c r="T18" s="35"/>
    </row>
    <row r="19" spans="1:20" s="18" customFormat="1" ht="12" thickBot="1" x14ac:dyDescent="0.25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 x14ac:dyDescent="0.25">
      <c r="A20" s="330" t="s">
        <v>10</v>
      </c>
      <c r="B20" s="331" t="s">
        <v>501</v>
      </c>
      <c r="D20" s="542" t="s">
        <v>248</v>
      </c>
      <c r="E20" s="543"/>
      <c r="F20" s="544"/>
      <c r="Q20" s="21"/>
      <c r="R20" s="11"/>
      <c r="S20" s="11"/>
      <c r="T20" s="11"/>
    </row>
    <row r="21" spans="1:20" x14ac:dyDescent="0.2">
      <c r="Q21" s="21"/>
      <c r="R21" s="11"/>
      <c r="S21" s="11"/>
      <c r="T21" s="11"/>
    </row>
    <row r="22" spans="1:20" s="9" customFormat="1" x14ac:dyDescent="0.2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24752.475247524751</v>
      </c>
      <c r="F22" s="37">
        <v>3000</v>
      </c>
      <c r="G22" s="37">
        <f>5482*(1+CALC!$A$2)</f>
        <v>5810.92</v>
      </c>
      <c r="H22" s="37">
        <f>6000*(1+CALC!$A$2)</f>
        <v>6360</v>
      </c>
      <c r="I22" s="37">
        <v>49444.75</v>
      </c>
      <c r="J22" s="37"/>
      <c r="K22" s="37">
        <f>500*(1.05+CALC!$A$2)</f>
        <v>555</v>
      </c>
      <c r="L22" s="37"/>
      <c r="M22" s="37">
        <f>SUM(E22:L22)</f>
        <v>89923.14524752475</v>
      </c>
      <c r="N22" s="32">
        <f>M22/CALC!$A$8*CALC!$A$6</f>
        <v>8915.9657610398008</v>
      </c>
      <c r="O22" s="37">
        <f>+M22+N22</f>
        <v>98839.111008564549</v>
      </c>
      <c r="P22" s="48">
        <v>9.09</v>
      </c>
      <c r="Q22" s="51"/>
      <c r="R22" s="25"/>
      <c r="S22" s="25"/>
      <c r="T22" s="25"/>
    </row>
    <row r="23" spans="1:20" s="9" customFormat="1" x14ac:dyDescent="0.2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24752.475247524751</v>
      </c>
      <c r="F23" s="37">
        <v>3000</v>
      </c>
      <c r="G23" s="37">
        <f>5482*(1+CALC!$A$2)</f>
        <v>5810.92</v>
      </c>
      <c r="H23" s="37">
        <f>6000*(1+CALC!$A$2)</f>
        <v>6360</v>
      </c>
      <c r="I23" s="37">
        <v>49444.75</v>
      </c>
      <c r="J23" s="37"/>
      <c r="K23" s="37">
        <f>500*(1.05+CALC!$A$2)</f>
        <v>555</v>
      </c>
      <c r="L23" s="37"/>
      <c r="M23" s="37">
        <f>SUM(E23:L23)</f>
        <v>89923.14524752475</v>
      </c>
      <c r="N23" s="32">
        <f>M23/CALC!$A$8*CALC!$A$6</f>
        <v>8915.9657610398008</v>
      </c>
      <c r="O23" s="37">
        <f>+M23+N23</f>
        <v>98839.111008564549</v>
      </c>
      <c r="P23" s="48">
        <v>9.09</v>
      </c>
      <c r="Q23" s="51"/>
      <c r="R23" s="25"/>
      <c r="S23" s="25"/>
      <c r="T23" s="25"/>
    </row>
    <row r="24" spans="1:20" s="9" customFormat="1" x14ac:dyDescent="0.2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24752.475247524751</v>
      </c>
      <c r="F24" s="37">
        <v>3000</v>
      </c>
      <c r="G24" s="37">
        <f>5482*(1+CALC!$A$2)</f>
        <v>5810.92</v>
      </c>
      <c r="H24" s="37">
        <f>6000*(1+CALC!$A$2)</f>
        <v>6360</v>
      </c>
      <c r="I24" s="37">
        <v>52038.15</v>
      </c>
      <c r="J24" s="37"/>
      <c r="K24" s="37">
        <f>500*(1.05+CALC!$A$2)</f>
        <v>555</v>
      </c>
      <c r="L24" s="37"/>
      <c r="M24" s="37">
        <f>SUM(E24:L24)</f>
        <v>92516.545247524744</v>
      </c>
      <c r="N24" s="32">
        <f>M24/CALC!$A$8*CALC!$A$6</f>
        <v>9173.1038486926791</v>
      </c>
      <c r="O24" s="37">
        <f>+M24+N24</f>
        <v>101689.64909621743</v>
      </c>
      <c r="P24" s="48">
        <v>9.09</v>
      </c>
      <c r="Q24" s="51"/>
      <c r="R24" s="25"/>
      <c r="S24" s="25"/>
      <c r="T24" s="25"/>
    </row>
    <row r="25" spans="1:20" s="18" customFormat="1" x14ac:dyDescent="0.2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74257.425742574254</v>
      </c>
      <c r="F25" s="14">
        <f t="shared" si="3"/>
        <v>9000</v>
      </c>
      <c r="G25" s="14">
        <f t="shared" si="3"/>
        <v>17432.760000000002</v>
      </c>
      <c r="H25" s="14">
        <f t="shared" si="3"/>
        <v>19080</v>
      </c>
      <c r="I25" s="14">
        <f t="shared" si="3"/>
        <v>150927.65</v>
      </c>
      <c r="J25" s="14">
        <f t="shared" si="3"/>
        <v>0</v>
      </c>
      <c r="K25" s="14">
        <f t="shared" si="3"/>
        <v>1665</v>
      </c>
      <c r="L25" s="14">
        <f>SUM(L22:L24)</f>
        <v>0</v>
      </c>
      <c r="M25" s="14">
        <f t="shared" si="3"/>
        <v>272362.83574257424</v>
      </c>
      <c r="N25" s="14">
        <f>M25/CALC!$A$8*CALC!$A$6</f>
        <v>27005.035370772282</v>
      </c>
      <c r="O25" s="14">
        <f>+M25+N25</f>
        <v>299367.87111334654</v>
      </c>
      <c r="P25" s="33"/>
      <c r="Q25" s="135">
        <f>(+O25/D25)*(1+CALC!$A$3)</f>
        <v>6.652619358074368</v>
      </c>
      <c r="R25" s="35"/>
      <c r="S25" s="35"/>
      <c r="T25" s="35"/>
    </row>
    <row r="26" spans="1:20" ht="12" thickBot="1" x14ac:dyDescent="0.25">
      <c r="Q26" s="151"/>
      <c r="R26" s="11"/>
      <c r="S26" s="11"/>
      <c r="T26" s="11"/>
    </row>
    <row r="27" spans="1:20" ht="12" thickBot="1" x14ac:dyDescent="0.25">
      <c r="A27" s="330" t="s">
        <v>10</v>
      </c>
      <c r="B27" s="331" t="s">
        <v>502</v>
      </c>
      <c r="D27" s="542" t="s">
        <v>675</v>
      </c>
      <c r="E27" s="543"/>
      <c r="F27" s="544"/>
      <c r="Q27" s="21"/>
      <c r="R27" s="11"/>
      <c r="S27" s="11"/>
      <c r="T27" s="11"/>
    </row>
    <row r="28" spans="1:20" s="9" customFormat="1" x14ac:dyDescent="0.2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 x14ac:dyDescent="0.2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112500</v>
      </c>
      <c r="F29" s="32">
        <v>3000</v>
      </c>
      <c r="G29" s="32">
        <f>6057.27*(1+CALC!$A$2)</f>
        <v>6420.7062000000005</v>
      </c>
      <c r="H29" s="32">
        <f>15000*(1+CALC!$A$2)</f>
        <v>15900</v>
      </c>
      <c r="I29" s="32">
        <v>66798.8</v>
      </c>
      <c r="J29" s="32"/>
      <c r="K29" s="37">
        <f>1400*(1.05+CALC!$A$2)</f>
        <v>1554.0000000000002</v>
      </c>
      <c r="L29" s="37"/>
      <c r="M29" s="32">
        <f>SUM(E29:L29)</f>
        <v>206173.5062</v>
      </c>
      <c r="N29" s="32">
        <f>M29/CALC!$A$8*CALC!$A$6</f>
        <v>20442.300111420169</v>
      </c>
      <c r="O29" s="32">
        <f>+M29+N29</f>
        <v>226615.80631142017</v>
      </c>
      <c r="P29" s="50">
        <v>2</v>
      </c>
      <c r="Q29" s="51"/>
    </row>
    <row r="30" spans="1:20" s="18" customFormat="1" x14ac:dyDescent="0.2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112500</v>
      </c>
      <c r="F30" s="14">
        <f t="shared" si="4"/>
        <v>3000</v>
      </c>
      <c r="G30" s="32">
        <f>6057.27*(1+CALC!$A$2)</f>
        <v>6420.7062000000005</v>
      </c>
      <c r="H30" s="32">
        <f>15000*(1+CALC!$A$2)</f>
        <v>15900</v>
      </c>
      <c r="I30" s="14">
        <f t="shared" si="4"/>
        <v>66798.8</v>
      </c>
      <c r="J30" s="14">
        <f t="shared" si="4"/>
        <v>0</v>
      </c>
      <c r="K30" s="14">
        <f t="shared" si="4"/>
        <v>1554.0000000000002</v>
      </c>
      <c r="L30" s="14">
        <f>SUM(L29)</f>
        <v>0</v>
      </c>
      <c r="M30" s="14">
        <f>SUM(M28:M29)</f>
        <v>206173.5062</v>
      </c>
      <c r="N30" s="14">
        <f>M30/CALC!$A$8*CALC!$A$6</f>
        <v>20442.300111420169</v>
      </c>
      <c r="O30" s="14">
        <f>+M30+N30</f>
        <v>226615.80631142017</v>
      </c>
      <c r="P30" s="33"/>
      <c r="Q30" s="135">
        <f>(+O30/D30)*(1+CALC!$A$3)</f>
        <v>15.107720420761344</v>
      </c>
      <c r="R30" s="35"/>
      <c r="S30" s="35"/>
      <c r="T30" s="35"/>
    </row>
    <row r="31" spans="1:20" ht="12" thickBot="1" x14ac:dyDescent="0.25">
      <c r="Q31" s="21"/>
      <c r="R31" s="11"/>
      <c r="S31" s="11"/>
      <c r="T31" s="11"/>
    </row>
    <row r="32" spans="1:20" ht="12" thickBot="1" x14ac:dyDescent="0.25">
      <c r="A32" s="330" t="s">
        <v>10</v>
      </c>
      <c r="B32" s="331" t="s">
        <v>503</v>
      </c>
      <c r="D32" s="542" t="s">
        <v>678</v>
      </c>
      <c r="E32" s="543"/>
      <c r="F32" s="544"/>
      <c r="Q32" s="21"/>
      <c r="R32" s="11"/>
      <c r="S32" s="11"/>
      <c r="T32" s="11"/>
    </row>
    <row r="33" spans="1:20" x14ac:dyDescent="0.2">
      <c r="Q33" s="21"/>
      <c r="R33" s="11"/>
      <c r="S33" s="11"/>
      <c r="T33" s="11"/>
    </row>
    <row r="34" spans="1:20" s="9" customFormat="1" x14ac:dyDescent="0.2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150000</v>
      </c>
      <c r="F34" s="37">
        <v>3000</v>
      </c>
      <c r="G34" s="32">
        <f>6057.27*(1+CALC!$A$2)</f>
        <v>6420.7062000000005</v>
      </c>
      <c r="H34" s="32">
        <f>20000*(1+CALC!$A$2)</f>
        <v>21200</v>
      </c>
      <c r="I34" s="37">
        <v>118119.44</v>
      </c>
      <c r="J34" s="37"/>
      <c r="K34" s="37">
        <f>5400*(1.05+CALC!$A$2)</f>
        <v>5994.0000000000009</v>
      </c>
      <c r="L34" s="37"/>
      <c r="M34" s="37">
        <f>SUM(E34:L34)</f>
        <v>304734.14620000002</v>
      </c>
      <c r="N34" s="32">
        <f>M34/CALC!$A$8*CALC!$A$6</f>
        <v>30214.681729159001</v>
      </c>
      <c r="O34" s="37">
        <f>+M34+N34</f>
        <v>334948.82792915904</v>
      </c>
      <c r="P34" s="48">
        <v>1.5</v>
      </c>
      <c r="Q34" s="51"/>
      <c r="R34" s="25"/>
      <c r="S34" s="25"/>
      <c r="T34" s="25"/>
    </row>
    <row r="35" spans="1:20" s="10" customFormat="1" x14ac:dyDescent="0.2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150000</v>
      </c>
      <c r="F35" s="32">
        <f t="shared" si="5"/>
        <v>3000</v>
      </c>
      <c r="G35" s="32">
        <f t="shared" si="5"/>
        <v>6420.7062000000005</v>
      </c>
      <c r="H35" s="32">
        <f t="shared" si="5"/>
        <v>21200</v>
      </c>
      <c r="I35" s="32">
        <f t="shared" si="5"/>
        <v>118119.44</v>
      </c>
      <c r="J35" s="32">
        <f t="shared" si="5"/>
        <v>0</v>
      </c>
      <c r="K35" s="32">
        <f t="shared" si="5"/>
        <v>5994.0000000000009</v>
      </c>
      <c r="L35" s="32">
        <f>SUM(L34)</f>
        <v>0</v>
      </c>
      <c r="M35" s="32">
        <f>SUM(M34:M34)</f>
        <v>304734.14620000002</v>
      </c>
      <c r="N35" s="32">
        <f>M35/CALC!$A$8*CALC!$A$6</f>
        <v>30214.681729159001</v>
      </c>
      <c r="O35" s="32">
        <f>+M35+N35</f>
        <v>334948.82792915904</v>
      </c>
      <c r="P35" s="50"/>
      <c r="Q35" s="51">
        <f>(+O35/D35)*(1+CALC!$A$3)</f>
        <v>22.329921861943937</v>
      </c>
      <c r="R35" s="63"/>
      <c r="S35" s="63"/>
      <c r="T35" s="63"/>
    </row>
    <row r="36" spans="1:20" ht="12" thickBot="1" x14ac:dyDescent="0.25">
      <c r="Q36" s="21"/>
      <c r="R36" s="11"/>
      <c r="S36" s="11"/>
      <c r="T36" s="11"/>
    </row>
    <row r="37" spans="1:20" ht="12" thickBot="1" x14ac:dyDescent="0.25">
      <c r="A37" s="330" t="s">
        <v>10</v>
      </c>
      <c r="B37" s="331" t="s">
        <v>688</v>
      </c>
      <c r="D37" s="542" t="s">
        <v>679</v>
      </c>
      <c r="E37" s="543"/>
      <c r="F37" s="544"/>
      <c r="Q37" s="21"/>
      <c r="R37" s="11"/>
      <c r="S37" s="11"/>
      <c r="T37" s="11"/>
    </row>
    <row r="38" spans="1:20" s="9" customFormat="1" x14ac:dyDescent="0.2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 x14ac:dyDescent="0.2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250000.00000000003</v>
      </c>
      <c r="F39" s="37">
        <v>3000</v>
      </c>
      <c r="G39" s="32">
        <f>6057.27*(1+CALC!$A$2)</f>
        <v>6420.7062000000005</v>
      </c>
      <c r="H39" s="32">
        <f>40000*(1+CALC!$A$2)</f>
        <v>42400</v>
      </c>
      <c r="I39" s="37">
        <v>122987.31</v>
      </c>
      <c r="J39" s="37"/>
      <c r="K39" s="37">
        <f>6100*(1.05+CALC!$A$2)</f>
        <v>6771.0000000000009</v>
      </c>
      <c r="L39" s="37"/>
      <c r="M39" s="37">
        <f>SUM(E39:L39)</f>
        <v>431579.01620000001</v>
      </c>
      <c r="N39" s="37">
        <f>M39/CALC!$A$8*CALC!$A$6</f>
        <v>42791.471773262529</v>
      </c>
      <c r="O39" s="37">
        <f>+M39+N39</f>
        <v>474370.48797326256</v>
      </c>
      <c r="P39" s="48">
        <v>1.5</v>
      </c>
      <c r="Q39" s="154"/>
    </row>
    <row r="40" spans="1:20" s="18" customFormat="1" x14ac:dyDescent="0.2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250000.00000000003</v>
      </c>
      <c r="F40" s="14">
        <f t="shared" si="6"/>
        <v>3000</v>
      </c>
      <c r="G40" s="14">
        <f t="shared" si="6"/>
        <v>6420.7062000000005</v>
      </c>
      <c r="H40" s="14">
        <f t="shared" si="6"/>
        <v>42400</v>
      </c>
      <c r="I40" s="14">
        <f t="shared" si="6"/>
        <v>122987.31</v>
      </c>
      <c r="J40" s="14">
        <f t="shared" si="6"/>
        <v>0</v>
      </c>
      <c r="K40" s="14">
        <f t="shared" si="6"/>
        <v>6771.0000000000009</v>
      </c>
      <c r="L40" s="14">
        <f>SUM(L39)</f>
        <v>0</v>
      </c>
      <c r="M40" s="14">
        <f>SUM(M38:M39)</f>
        <v>431579.01620000001</v>
      </c>
      <c r="N40" s="14">
        <f>M40/CALC!$A$8*CALC!$A$6</f>
        <v>42791.471773262529</v>
      </c>
      <c r="O40" s="14">
        <f>+M40+N40</f>
        <v>474370.48797326256</v>
      </c>
      <c r="P40" s="33"/>
      <c r="Q40" s="135">
        <f>(+O40/D40)*(1+CALC!$A$3)</f>
        <v>18.974819518930502</v>
      </c>
      <c r="R40" s="35"/>
      <c r="S40" s="35"/>
      <c r="T40" s="35"/>
    </row>
    <row r="41" spans="1:20" ht="12" thickBot="1" x14ac:dyDescent="0.25">
      <c r="Q41" s="21"/>
      <c r="R41" s="11"/>
      <c r="S41" s="11"/>
      <c r="T41" s="11"/>
    </row>
    <row r="42" spans="1:20" ht="12" thickBot="1" x14ac:dyDescent="0.25">
      <c r="A42" s="330" t="s">
        <v>10</v>
      </c>
      <c r="B42" s="331" t="s">
        <v>504</v>
      </c>
      <c r="D42" s="542" t="s">
        <v>680</v>
      </c>
      <c r="E42" s="543"/>
      <c r="F42" s="544"/>
      <c r="Q42" s="21"/>
      <c r="R42" s="11"/>
      <c r="S42" s="11"/>
      <c r="T42" s="11"/>
    </row>
    <row r="43" spans="1:20" s="9" customFormat="1" x14ac:dyDescent="0.2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 x14ac:dyDescent="0.2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350000</v>
      </c>
      <c r="F44" s="32">
        <v>3000</v>
      </c>
      <c r="G44" s="32">
        <f>6057.27*(1+CALC!$A$2)</f>
        <v>6420.7062000000005</v>
      </c>
      <c r="H44" s="32">
        <f>40000*(1+CALC!$A$2)</f>
        <v>42400</v>
      </c>
      <c r="I44" s="32">
        <v>153382.39000000001</v>
      </c>
      <c r="J44" s="32"/>
      <c r="K44" s="32">
        <f>5000*(1.05+CALC!$A$2)</f>
        <v>5550.0000000000009</v>
      </c>
      <c r="L44" s="37"/>
      <c r="M44" s="32">
        <f>SUM(E44:L44)</f>
        <v>560753.09620000003</v>
      </c>
      <c r="N44" s="32">
        <f>M44/CALC!$A$8*CALC!$A$6</f>
        <v>55599.205214120113</v>
      </c>
      <c r="O44" s="32">
        <f>+M44+N44</f>
        <v>616352.30141412013</v>
      </c>
      <c r="P44" s="50">
        <v>1.5</v>
      </c>
      <c r="Q44" s="51"/>
    </row>
    <row r="45" spans="1:20" s="18" customFormat="1" x14ac:dyDescent="0.2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350000</v>
      </c>
      <c r="F45" s="14">
        <f t="shared" si="7"/>
        <v>3000</v>
      </c>
      <c r="G45" s="14">
        <f t="shared" si="7"/>
        <v>6420.7062000000005</v>
      </c>
      <c r="H45" s="14">
        <f t="shared" si="7"/>
        <v>42400</v>
      </c>
      <c r="I45" s="14">
        <f t="shared" si="7"/>
        <v>153382.39000000001</v>
      </c>
      <c r="J45" s="14">
        <f t="shared" si="7"/>
        <v>0</v>
      </c>
      <c r="K45" s="14">
        <f t="shared" si="7"/>
        <v>5550.0000000000009</v>
      </c>
      <c r="L45" s="14">
        <f>SUM(L44)</f>
        <v>0</v>
      </c>
      <c r="M45" s="14">
        <f>SUM(M43:M44)</f>
        <v>560753.09620000003</v>
      </c>
      <c r="N45" s="14">
        <f>M45/CALC!$A$8*CALC!$A$6</f>
        <v>55599.205214120113</v>
      </c>
      <c r="O45" s="14">
        <f>+M45+N45</f>
        <v>616352.30141412013</v>
      </c>
      <c r="P45" s="33"/>
      <c r="Q45" s="135">
        <f>(+O45/D45)*(1+CALC!$A$3)</f>
        <v>17.610065754689145</v>
      </c>
      <c r="R45" s="35"/>
      <c r="S45" s="35"/>
      <c r="T45" s="35"/>
    </row>
    <row r="46" spans="1:20" x14ac:dyDescent="0.2">
      <c r="Q46" s="21"/>
      <c r="R46" s="11"/>
      <c r="S46" s="11"/>
      <c r="T46" s="11"/>
    </row>
    <row r="47" spans="1:20" ht="12" thickBot="1" x14ac:dyDescent="0.25">
      <c r="Q47" s="21"/>
      <c r="R47" s="11"/>
      <c r="S47" s="11"/>
      <c r="T47" s="11"/>
    </row>
    <row r="48" spans="1:20" ht="12" thickBot="1" x14ac:dyDescent="0.25">
      <c r="A48" s="330" t="s">
        <v>10</v>
      </c>
      <c r="B48" s="331" t="s">
        <v>155</v>
      </c>
      <c r="D48" s="542" t="s">
        <v>159</v>
      </c>
      <c r="E48" s="543"/>
      <c r="F48" s="544"/>
      <c r="Q48" s="21"/>
      <c r="R48" s="11"/>
      <c r="S48" s="11"/>
      <c r="T48" s="11"/>
    </row>
    <row r="49" spans="1:20" x14ac:dyDescent="0.2">
      <c r="Q49" s="21"/>
      <c r="R49" s="11"/>
      <c r="S49" s="11"/>
      <c r="T49" s="11"/>
    </row>
    <row r="50" spans="1:20" x14ac:dyDescent="0.2">
      <c r="A50" s="12" t="s">
        <v>25</v>
      </c>
      <c r="B50" s="12" t="s">
        <v>100</v>
      </c>
      <c r="C50" s="19">
        <v>117</v>
      </c>
      <c r="D50" s="8">
        <v>300</v>
      </c>
      <c r="E50" s="30">
        <f>+D50/P50*(CALC!$A$4)</f>
        <v>16666.666666666668</v>
      </c>
      <c r="F50" s="13">
        <v>3000</v>
      </c>
      <c r="G50" s="32">
        <f>6057.27*(1+CALC!$A$2)</f>
        <v>6420.7062000000005</v>
      </c>
      <c r="H50" s="32">
        <f>40000*(1+CALC!$A$2)</f>
        <v>42400</v>
      </c>
      <c r="I50" s="13"/>
      <c r="J50" s="13"/>
      <c r="K50" s="37">
        <f>500*(1.05+CALC!$A$2)</f>
        <v>555</v>
      </c>
      <c r="L50" s="13"/>
      <c r="M50" s="13">
        <f>SUM(E50:L50)</f>
        <v>69042.372866666672</v>
      </c>
      <c r="N50" s="14">
        <f>M50/CALC!$A$8*CALC!$A$6</f>
        <v>6845.617230643832</v>
      </c>
      <c r="O50" s="13">
        <f>+M50+N50</f>
        <v>75887.99009731051</v>
      </c>
      <c r="P50" s="31">
        <v>0.27</v>
      </c>
      <c r="Q50" s="36"/>
      <c r="R50" s="11"/>
      <c r="S50" s="11"/>
      <c r="T50" s="11"/>
    </row>
    <row r="51" spans="1:20" x14ac:dyDescent="0.2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 x14ac:dyDescent="0.2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16666.666666666668</v>
      </c>
      <c r="F52" s="14">
        <f t="shared" si="8"/>
        <v>3000</v>
      </c>
      <c r="G52" s="14">
        <f t="shared" si="8"/>
        <v>6420.7062000000005</v>
      </c>
      <c r="H52" s="14">
        <f t="shared" si="8"/>
        <v>42400</v>
      </c>
      <c r="I52" s="14">
        <f t="shared" si="8"/>
        <v>0</v>
      </c>
      <c r="J52" s="14">
        <f t="shared" si="8"/>
        <v>0</v>
      </c>
      <c r="K52" s="14">
        <f t="shared" si="8"/>
        <v>555</v>
      </c>
      <c r="L52" s="14"/>
      <c r="M52" s="14">
        <f t="shared" si="8"/>
        <v>69042.372866666672</v>
      </c>
      <c r="N52" s="14">
        <f>M52/CALC!$A$8*CALC!$A$6</f>
        <v>6845.617230643832</v>
      </c>
      <c r="O52" s="14">
        <f>+M52+N52</f>
        <v>75887.99009731051</v>
      </c>
      <c r="P52" s="33"/>
      <c r="Q52" s="135">
        <f>(+O52/D52)*(1+CALC!$A$3)</f>
        <v>252.95996699103503</v>
      </c>
      <c r="R52" s="35"/>
      <c r="S52" s="35"/>
      <c r="T52" s="35"/>
    </row>
    <row r="53" spans="1:20" ht="12" thickBot="1" x14ac:dyDescent="0.25">
      <c r="Q53" s="21"/>
      <c r="R53" s="11"/>
      <c r="S53" s="11"/>
      <c r="T53" s="11"/>
    </row>
    <row r="54" spans="1:20" ht="12" thickBot="1" x14ac:dyDescent="0.25">
      <c r="A54" s="330" t="s">
        <v>10</v>
      </c>
      <c r="B54" s="331" t="s">
        <v>156</v>
      </c>
      <c r="D54" s="542" t="s">
        <v>160</v>
      </c>
      <c r="E54" s="543"/>
      <c r="F54" s="544"/>
      <c r="Q54" s="21"/>
      <c r="R54" s="11"/>
      <c r="S54" s="11"/>
      <c r="T54" s="11"/>
    </row>
    <row r="55" spans="1:20" x14ac:dyDescent="0.2">
      <c r="Q55" s="21"/>
      <c r="R55" s="11"/>
      <c r="S55" s="11"/>
      <c r="T55" s="11"/>
    </row>
    <row r="56" spans="1:20" s="9" customFormat="1" x14ac:dyDescent="0.2">
      <c r="A56" s="61" t="s">
        <v>88</v>
      </c>
      <c r="B56" s="61" t="s">
        <v>127</v>
      </c>
      <c r="C56" s="54">
        <v>103</v>
      </c>
      <c r="D56" s="46">
        <v>300</v>
      </c>
      <c r="E56" s="62">
        <f>+D56/P56*(CALC!$A$4)</f>
        <v>5769.2307692307686</v>
      </c>
      <c r="F56" s="37">
        <v>3000</v>
      </c>
      <c r="G56" s="37">
        <f>710*(1+CALC!$A$2)</f>
        <v>752.6</v>
      </c>
      <c r="H56" s="37">
        <f>5000*(1+CALC!$A$2)</f>
        <v>5300</v>
      </c>
      <c r="I56" s="37"/>
      <c r="J56" s="37"/>
      <c r="K56" s="37">
        <f>500*(1.05+CALC!$A$2)</f>
        <v>555</v>
      </c>
      <c r="L56" s="37"/>
      <c r="M56" s="37">
        <f>SUM(E56:L56)</f>
        <v>15376.83076923077</v>
      </c>
      <c r="N56" s="32">
        <f>M56/CALC!$A$8*CALC!$A$6</f>
        <v>1524.6274613102314</v>
      </c>
      <c r="O56" s="37">
        <f>+M56+N56</f>
        <v>16901.458230541</v>
      </c>
      <c r="P56" s="48">
        <v>0.78</v>
      </c>
      <c r="Q56" s="51"/>
    </row>
    <row r="57" spans="1:20" x14ac:dyDescent="0.2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 x14ac:dyDescent="0.2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5769.2307692307686</v>
      </c>
      <c r="F58" s="14">
        <f t="shared" si="9"/>
        <v>3000</v>
      </c>
      <c r="G58" s="14">
        <f t="shared" si="9"/>
        <v>752.6</v>
      </c>
      <c r="H58" s="14">
        <f t="shared" si="9"/>
        <v>5300</v>
      </c>
      <c r="I58" s="14">
        <f t="shared" si="9"/>
        <v>0</v>
      </c>
      <c r="J58" s="14">
        <f t="shared" si="9"/>
        <v>0</v>
      </c>
      <c r="K58" s="14">
        <f t="shared" si="9"/>
        <v>555</v>
      </c>
      <c r="L58" s="14"/>
      <c r="M58" s="14">
        <f t="shared" si="9"/>
        <v>15376.83076923077</v>
      </c>
      <c r="N58" s="14">
        <f>M58/CALC!$A$8*CALC!$A$6</f>
        <v>1524.6274613102314</v>
      </c>
      <c r="O58" s="14">
        <f>+M58+N58</f>
        <v>16901.458230541</v>
      </c>
      <c r="P58" s="33"/>
      <c r="Q58" s="135">
        <f>(+O58/D58)*(1+CALC!$A$3)</f>
        <v>56.338194101803332</v>
      </c>
      <c r="R58" s="35"/>
      <c r="S58" s="35"/>
      <c r="T58" s="35"/>
    </row>
    <row r="59" spans="1:20" ht="12" thickBot="1" x14ac:dyDescent="0.25">
      <c r="Q59" s="21"/>
      <c r="R59" s="11"/>
      <c r="S59" s="11"/>
      <c r="T59" s="11"/>
    </row>
    <row r="60" spans="1:20" ht="12" thickBot="1" x14ac:dyDescent="0.25">
      <c r="A60" s="330" t="s">
        <v>10</v>
      </c>
      <c r="B60" s="331" t="s">
        <v>157</v>
      </c>
      <c r="D60" s="542" t="s">
        <v>43</v>
      </c>
      <c r="E60" s="543"/>
      <c r="F60" s="544"/>
      <c r="Q60" s="21"/>
      <c r="R60" s="11"/>
      <c r="S60" s="11"/>
      <c r="T60" s="11"/>
    </row>
    <row r="61" spans="1:20" x14ac:dyDescent="0.2">
      <c r="Q61" s="21"/>
      <c r="R61" s="11"/>
      <c r="S61" s="11"/>
      <c r="T61" s="11"/>
    </row>
    <row r="62" spans="1:20" s="9" customFormat="1" x14ac:dyDescent="0.2">
      <c r="A62" s="61" t="s">
        <v>128</v>
      </c>
      <c r="B62" s="322" t="s">
        <v>129</v>
      </c>
      <c r="C62" s="54">
        <v>328</v>
      </c>
      <c r="D62" s="46">
        <v>25000</v>
      </c>
      <c r="E62" s="62">
        <f>+D62/P62*(CALC!$A$4)</f>
        <v>375000</v>
      </c>
      <c r="F62" s="37">
        <v>3000</v>
      </c>
      <c r="G62" s="37">
        <f>8600*(1+CALC!$A$2)</f>
        <v>9116</v>
      </c>
      <c r="H62" s="37">
        <f>40000*(1+CALC!$A$2)</f>
        <v>42400</v>
      </c>
      <c r="I62" s="37"/>
      <c r="J62" s="37"/>
      <c r="K62" s="37">
        <f>2100*(1.05+CALC!$A$2)</f>
        <v>2331</v>
      </c>
      <c r="L62" s="37"/>
      <c r="M62" s="37">
        <f>SUM(E62:L62)</f>
        <v>431847</v>
      </c>
      <c r="N62" s="32">
        <f>M62/CALC!$A$8*CALC!$A$6</f>
        <v>42818.04262305583</v>
      </c>
      <c r="O62" s="37">
        <f>+M62+N62</f>
        <v>474665.04262305581</v>
      </c>
      <c r="P62" s="48">
        <v>1</v>
      </c>
      <c r="Q62" s="36"/>
      <c r="R62" s="25"/>
      <c r="S62" s="25"/>
      <c r="T62" s="25"/>
    </row>
    <row r="63" spans="1:20" x14ac:dyDescent="0.2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 x14ac:dyDescent="0.2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375000</v>
      </c>
      <c r="F64" s="14">
        <f t="shared" si="10"/>
        <v>3000</v>
      </c>
      <c r="G64" s="14">
        <f t="shared" si="10"/>
        <v>9116</v>
      </c>
      <c r="H64" s="14">
        <f t="shared" si="10"/>
        <v>42400</v>
      </c>
      <c r="I64" s="14">
        <f t="shared" si="10"/>
        <v>0</v>
      </c>
      <c r="J64" s="14">
        <f t="shared" si="10"/>
        <v>0</v>
      </c>
      <c r="K64" s="14">
        <f t="shared" si="10"/>
        <v>2331</v>
      </c>
      <c r="L64" s="14"/>
      <c r="M64" s="14">
        <f t="shared" si="10"/>
        <v>431847</v>
      </c>
      <c r="N64" s="14">
        <f>M64/CALC!$A$8*CALC!$A$6</f>
        <v>42818.04262305583</v>
      </c>
      <c r="O64" s="14">
        <f>+M64+N64</f>
        <v>474665.04262305581</v>
      </c>
      <c r="P64" s="33"/>
      <c r="Q64" s="135">
        <f>(+O64/D64)*(1+CALC!$A$3)</f>
        <v>18.986601704922233</v>
      </c>
      <c r="R64" s="35"/>
      <c r="S64" s="35"/>
      <c r="T64" s="35"/>
    </row>
    <row r="65" spans="1:20" x14ac:dyDescent="0.2">
      <c r="Q65" s="21"/>
      <c r="R65" s="11"/>
      <c r="S65" s="11"/>
      <c r="T65" s="11"/>
    </row>
    <row r="66" spans="1:20" x14ac:dyDescent="0.2">
      <c r="Q66" s="21"/>
      <c r="R66" s="11"/>
      <c r="S66" s="11"/>
      <c r="T66" s="11"/>
    </row>
    <row r="67" spans="1:20" ht="12" hidden="1" thickBot="1" x14ac:dyDescent="0.25">
      <c r="A67" s="71" t="s">
        <v>10</v>
      </c>
      <c r="B67" s="72" t="s">
        <v>66</v>
      </c>
      <c r="D67" s="545" t="s">
        <v>44</v>
      </c>
      <c r="E67" s="546"/>
      <c r="F67" s="547"/>
      <c r="Q67" s="21"/>
      <c r="R67" s="11"/>
      <c r="S67" s="11"/>
      <c r="T67" s="11"/>
    </row>
    <row r="68" spans="1:20" hidden="1" x14ac:dyDescent="0.2">
      <c r="Q68" s="21"/>
      <c r="R68" s="11"/>
      <c r="S68" s="11"/>
      <c r="T68" s="11"/>
    </row>
    <row r="69" spans="1:20" hidden="1" x14ac:dyDescent="0.2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 x14ac:dyDescent="0.2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 x14ac:dyDescent="0.2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 x14ac:dyDescent="0.2">
      <c r="Q73" s="21"/>
      <c r="R73" s="11"/>
      <c r="S73" s="11"/>
      <c r="T73" s="11"/>
    </row>
    <row r="74" spans="1:20" s="18" customFormat="1" ht="12" thickBot="1" x14ac:dyDescent="0.25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 x14ac:dyDescent="0.25">
      <c r="A75" s="330" t="s">
        <v>10</v>
      </c>
      <c r="B75" s="331" t="s">
        <v>158</v>
      </c>
      <c r="D75" s="542" t="s">
        <v>161</v>
      </c>
      <c r="E75" s="543"/>
      <c r="F75" s="544"/>
      <c r="Q75" s="21"/>
      <c r="R75" s="11"/>
      <c r="S75" s="11"/>
      <c r="T75" s="11"/>
    </row>
    <row r="76" spans="1:20" x14ac:dyDescent="0.2">
      <c r="Q76" s="21"/>
      <c r="R76" s="11"/>
      <c r="S76" s="11"/>
      <c r="T76" s="11"/>
    </row>
    <row r="77" spans="1:20" s="9" customFormat="1" x14ac:dyDescent="0.2">
      <c r="A77" s="61" t="s">
        <v>681</v>
      </c>
      <c r="B77" s="61"/>
      <c r="C77" s="54">
        <v>417</v>
      </c>
      <c r="D77" s="46">
        <v>35000</v>
      </c>
      <c r="E77" s="62">
        <f>+D77/P77*(CALC!$A$4)</f>
        <v>156250.00000000003</v>
      </c>
      <c r="F77" s="37">
        <v>3000</v>
      </c>
      <c r="G77" s="37">
        <f>9900*(1+CALC!$A$2)</f>
        <v>10494</v>
      </c>
      <c r="H77" s="37">
        <f>55000*(1+CALC!$A$2)</f>
        <v>58300</v>
      </c>
      <c r="I77" s="37">
        <f>726389/8*0.75</f>
        <v>68098.96875</v>
      </c>
      <c r="J77" s="37"/>
      <c r="K77" s="37">
        <f>6100*(1.05+CALC!$A$2)</f>
        <v>6771.0000000000009</v>
      </c>
      <c r="L77" s="37"/>
      <c r="M77" s="37">
        <f>SUM(E77:L77)</f>
        <v>302913.96875</v>
      </c>
      <c r="N77" s="32">
        <f>M77/CALC!$A$8*CALC!$A$6</f>
        <v>30034.209396051152</v>
      </c>
      <c r="O77" s="37">
        <f>+M77+N77</f>
        <v>332948.17814605113</v>
      </c>
      <c r="P77" s="399">
        <v>3.36</v>
      </c>
      <c r="Q77" s="49"/>
      <c r="R77" s="25"/>
      <c r="S77" s="25"/>
      <c r="T77" s="25"/>
    </row>
    <row r="78" spans="1:20" x14ac:dyDescent="0.2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 x14ac:dyDescent="0.2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156250.00000000003</v>
      </c>
      <c r="F79" s="14">
        <f t="shared" si="11"/>
        <v>3000</v>
      </c>
      <c r="G79" s="14">
        <f t="shared" si="11"/>
        <v>10494</v>
      </c>
      <c r="H79" s="14">
        <f t="shared" si="11"/>
        <v>58300</v>
      </c>
      <c r="I79" s="14">
        <f t="shared" si="11"/>
        <v>68098.96875</v>
      </c>
      <c r="J79" s="14">
        <f t="shared" si="11"/>
        <v>0</v>
      </c>
      <c r="K79" s="14">
        <f t="shared" si="11"/>
        <v>6771.0000000000009</v>
      </c>
      <c r="L79" s="14"/>
      <c r="M79" s="14">
        <f t="shared" si="11"/>
        <v>302913.96875</v>
      </c>
      <c r="N79" s="14">
        <f>M79/CALC!$A$8*CALC!$A$6</f>
        <v>30034.209396051152</v>
      </c>
      <c r="O79" s="14">
        <f>+M79+N79</f>
        <v>332948.17814605113</v>
      </c>
      <c r="P79" s="33"/>
      <c r="Q79" s="135">
        <f>(+O79/D79)*(1+CALC!$A$3)</f>
        <v>9.5128050898871752</v>
      </c>
      <c r="R79" s="35"/>
      <c r="S79" s="35"/>
      <c r="T79" s="35"/>
    </row>
    <row r="80" spans="1:20" s="18" customFormat="1" ht="12" thickBot="1" x14ac:dyDescent="0.25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 x14ac:dyDescent="0.25">
      <c r="A81" s="330" t="s">
        <v>10</v>
      </c>
      <c r="B81" s="331" t="s">
        <v>196</v>
      </c>
      <c r="D81" s="542" t="s">
        <v>162</v>
      </c>
      <c r="E81" s="543"/>
      <c r="F81" s="544"/>
      <c r="Q81" s="21"/>
      <c r="R81" s="11"/>
      <c r="S81" s="11"/>
      <c r="T81" s="11"/>
    </row>
    <row r="82" spans="1:20" x14ac:dyDescent="0.2">
      <c r="Q82" s="21"/>
      <c r="R82" s="11"/>
      <c r="S82" s="11"/>
      <c r="T82" s="11"/>
    </row>
    <row r="83" spans="1:20" x14ac:dyDescent="0.2">
      <c r="A83" s="12" t="s">
        <v>681</v>
      </c>
      <c r="B83" s="61"/>
      <c r="C83" s="19">
        <v>419</v>
      </c>
      <c r="D83" s="8">
        <v>30000</v>
      </c>
      <c r="E83" s="30">
        <f>+D83/P83*(CALC!$A$4)</f>
        <v>450000</v>
      </c>
      <c r="F83" s="13">
        <v>3000</v>
      </c>
      <c r="G83" s="13">
        <f>9900*(1+CALC!$A$2)</f>
        <v>10494</v>
      </c>
      <c r="H83" s="13">
        <f>50000*(1+CALC!$A$2)</f>
        <v>53000</v>
      </c>
      <c r="I83" s="13">
        <f>902879/8*0.75</f>
        <v>84644.90625</v>
      </c>
      <c r="J83" s="13"/>
      <c r="K83" s="13">
        <f>6405*(1.05+CALC!$A$2)</f>
        <v>7109.55</v>
      </c>
      <c r="L83" s="13"/>
      <c r="M83" s="13">
        <f>SUM(E83:L83)</f>
        <v>608248.45625000005</v>
      </c>
      <c r="N83" s="14">
        <f>M83/CALC!$A$8*CALC!$A$6</f>
        <v>60308.415538652371</v>
      </c>
      <c r="O83" s="13">
        <f>+M83+N83</f>
        <v>668556.87178865238</v>
      </c>
      <c r="P83" s="31">
        <v>1</v>
      </c>
      <c r="Q83" s="21"/>
      <c r="R83" s="11"/>
      <c r="S83" s="11"/>
      <c r="T83" s="11"/>
    </row>
    <row r="84" spans="1:20" x14ac:dyDescent="0.2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 x14ac:dyDescent="0.2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450000</v>
      </c>
      <c r="F85" s="14">
        <f t="shared" si="12"/>
        <v>3000</v>
      </c>
      <c r="G85" s="14">
        <f t="shared" si="12"/>
        <v>10494</v>
      </c>
      <c r="H85" s="14">
        <f t="shared" si="12"/>
        <v>53000</v>
      </c>
      <c r="I85" s="14">
        <f t="shared" si="12"/>
        <v>84644.90625</v>
      </c>
      <c r="J85" s="14">
        <f t="shared" si="12"/>
        <v>0</v>
      </c>
      <c r="K85" s="14">
        <f t="shared" si="12"/>
        <v>7109.55</v>
      </c>
      <c r="L85" s="14"/>
      <c r="M85" s="14">
        <f t="shared" si="12"/>
        <v>608248.45625000005</v>
      </c>
      <c r="N85" s="14">
        <f>M85/CALC!$A$8*CALC!$A$6</f>
        <v>60308.415538652371</v>
      </c>
      <c r="O85" s="14">
        <f>+M85+N85</f>
        <v>668556.87178865238</v>
      </c>
      <c r="P85" s="33"/>
      <c r="Q85" s="135">
        <f>(+O85/D85)*(1+CALC!$A$3)</f>
        <v>22.285229059621745</v>
      </c>
      <c r="R85" s="35"/>
      <c r="S85" s="35"/>
      <c r="T85" s="35"/>
    </row>
    <row r="86" spans="1:20" ht="12" thickBot="1" x14ac:dyDescent="0.25">
      <c r="Q86" s="21"/>
      <c r="R86" s="11"/>
      <c r="S86" s="11"/>
      <c r="T86" s="11"/>
    </row>
    <row r="87" spans="1:20" s="18" customFormat="1" ht="12" thickBot="1" x14ac:dyDescent="0.25">
      <c r="A87" s="42" t="s">
        <v>106</v>
      </c>
      <c r="B87" s="92" t="s">
        <v>14</v>
      </c>
      <c r="C87" s="93"/>
      <c r="D87" s="94">
        <f>+D88+D89+D90</f>
        <v>441600</v>
      </c>
      <c r="E87" s="95">
        <f>+E88+E89+E90</f>
        <v>2426200.444617752</v>
      </c>
      <c r="F87" s="95">
        <f t="shared" ref="F87:O87" si="13">+F88+F89+F90</f>
        <v>66000</v>
      </c>
      <c r="G87" s="95">
        <f t="shared" si="13"/>
        <v>138502.09099999999</v>
      </c>
      <c r="H87" s="95">
        <f>+H88+H89+H90</f>
        <v>405980</v>
      </c>
      <c r="I87" s="95">
        <f t="shared" si="13"/>
        <v>1118635.9650000001</v>
      </c>
      <c r="J87" s="95">
        <f t="shared" si="13"/>
        <v>0</v>
      </c>
      <c r="K87" s="95">
        <f t="shared" si="13"/>
        <v>44405.55</v>
      </c>
      <c r="L87" s="95">
        <f t="shared" si="13"/>
        <v>0</v>
      </c>
      <c r="M87" s="95">
        <f t="shared" si="13"/>
        <v>4199724.0506177517</v>
      </c>
      <c r="N87" s="95">
        <f t="shared" si="13"/>
        <v>416406.65190315922</v>
      </c>
      <c r="O87" s="95">
        <f t="shared" si="13"/>
        <v>4616130.7025209107</v>
      </c>
      <c r="P87" s="34"/>
      <c r="Q87" s="34"/>
      <c r="R87" s="35"/>
      <c r="S87" s="35"/>
      <c r="T87" s="35"/>
    </row>
    <row r="88" spans="1:20" s="18" customFormat="1" ht="12" thickBot="1" x14ac:dyDescent="0.25">
      <c r="A88" s="42" t="s">
        <v>130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1816280.1643732591</v>
      </c>
      <c r="F88" s="76">
        <f t="shared" ref="F88:O88" si="14">+F7+F8+F11+F14+F15+F16+F25+F30+F35+F45+F52+F64+F85</f>
        <v>45000</v>
      </c>
      <c r="G88" s="76">
        <f t="shared" si="14"/>
        <v>97591.104800000001</v>
      </c>
      <c r="H88" s="76">
        <f t="shared" si="14"/>
        <v>274540</v>
      </c>
      <c r="I88" s="76">
        <f t="shared" si="14"/>
        <v>786079.08625000005</v>
      </c>
      <c r="J88" s="76">
        <f t="shared" si="14"/>
        <v>0</v>
      </c>
      <c r="K88" s="76">
        <f t="shared" si="14"/>
        <v>28088.55</v>
      </c>
      <c r="L88" s="76">
        <f t="shared" si="14"/>
        <v>0</v>
      </c>
      <c r="M88" s="76">
        <f t="shared" si="14"/>
        <v>3047578.9054232584</v>
      </c>
      <c r="N88" s="76">
        <f t="shared" si="14"/>
        <v>302170.36003385216</v>
      </c>
      <c r="O88" s="76">
        <f t="shared" si="14"/>
        <v>3349749.2654571105</v>
      </c>
      <c r="P88" s="150"/>
      <c r="Q88" s="43"/>
      <c r="R88" s="35"/>
      <c r="S88" s="35"/>
      <c r="T88" s="35"/>
    </row>
    <row r="89" spans="1:20" s="18" customFormat="1" ht="12" thickBot="1" x14ac:dyDescent="0.25">
      <c r="A89" s="42" t="s">
        <v>131</v>
      </c>
      <c r="B89" s="73" t="s">
        <v>14</v>
      </c>
      <c r="C89" s="74"/>
      <c r="D89" s="75">
        <f>+D9+D10</f>
        <v>60000</v>
      </c>
      <c r="E89" s="76">
        <f>+E9+E10</f>
        <v>134932.53373313343</v>
      </c>
      <c r="F89" s="76">
        <f t="shared" ref="F89:O89" si="15">+F9+F10</f>
        <v>6000</v>
      </c>
      <c r="G89" s="76">
        <f t="shared" si="15"/>
        <v>11621.84</v>
      </c>
      <c r="H89" s="76">
        <f t="shared" si="15"/>
        <v>12720</v>
      </c>
      <c r="I89" s="76">
        <f t="shared" si="15"/>
        <v>70735.3</v>
      </c>
      <c r="J89" s="76">
        <f t="shared" si="15"/>
        <v>0</v>
      </c>
      <c r="K89" s="76">
        <f t="shared" si="15"/>
        <v>1110</v>
      </c>
      <c r="L89" s="76">
        <f t="shared" si="15"/>
        <v>0</v>
      </c>
      <c r="M89" s="76">
        <f t="shared" si="15"/>
        <v>237119.67373313342</v>
      </c>
      <c r="N89" s="76">
        <f t="shared" si="15"/>
        <v>23510.642187326524</v>
      </c>
      <c r="O89" s="76">
        <f t="shared" si="15"/>
        <v>260630.31592045995</v>
      </c>
      <c r="P89" s="43"/>
      <c r="Q89" s="43"/>
      <c r="R89" s="35"/>
      <c r="S89" s="35"/>
      <c r="T89" s="35"/>
    </row>
    <row r="90" spans="1:20" s="18" customFormat="1" ht="12" thickBot="1" x14ac:dyDescent="0.25">
      <c r="A90" s="42" t="s">
        <v>132</v>
      </c>
      <c r="B90" s="73" t="s">
        <v>14</v>
      </c>
      <c r="C90" s="74"/>
      <c r="D90" s="75">
        <f>+D12+D13+D39+D58+D77</f>
        <v>88300</v>
      </c>
      <c r="E90" s="76">
        <f>+E12+E13+E39+E58+E77</f>
        <v>474987.7465113597</v>
      </c>
      <c r="F90" s="76">
        <f t="shared" ref="F90:O90" si="16">+F12+F13+F39+F58+F77</f>
        <v>15000</v>
      </c>
      <c r="G90" s="76">
        <f t="shared" si="16"/>
        <v>29289.146199999999</v>
      </c>
      <c r="H90" s="76">
        <f t="shared" si="16"/>
        <v>118720</v>
      </c>
      <c r="I90" s="76">
        <f t="shared" si="16"/>
        <v>261821.57874999999</v>
      </c>
      <c r="J90" s="76">
        <f t="shared" si="16"/>
        <v>0</v>
      </c>
      <c r="K90" s="76">
        <f t="shared" si="16"/>
        <v>15207</v>
      </c>
      <c r="L90" s="76">
        <f t="shared" si="16"/>
        <v>0</v>
      </c>
      <c r="M90" s="76">
        <f t="shared" si="16"/>
        <v>915025.47146135976</v>
      </c>
      <c r="N90" s="76">
        <f t="shared" si="16"/>
        <v>90725.649681980562</v>
      </c>
      <c r="O90" s="76">
        <f t="shared" si="16"/>
        <v>1005751.1211433402</v>
      </c>
      <c r="P90" s="43"/>
      <c r="Q90" s="43"/>
      <c r="R90" s="35"/>
      <c r="S90" s="35"/>
      <c r="T90" s="35"/>
    </row>
    <row r="91" spans="1:20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 x14ac:dyDescent="0.2">
      <c r="O92" s="28"/>
      <c r="Q92" s="21"/>
      <c r="R92" s="11"/>
      <c r="S92" s="11"/>
      <c r="T92" s="11"/>
    </row>
    <row r="93" spans="1:20" x14ac:dyDescent="0.2">
      <c r="D93" s="17">
        <f>+D18+D25+D30+D35+D40+D45+D52+D58+D64+D79+D85</f>
        <v>441600</v>
      </c>
      <c r="E93" s="17">
        <f t="shared" ref="E93:O93" si="17">+E18+E25+E30+E35+E40+E45+E52+E58+E64+E79+E85</f>
        <v>2426200.444617752</v>
      </c>
      <c r="F93" s="17">
        <f t="shared" si="17"/>
        <v>66000</v>
      </c>
      <c r="G93" s="17">
        <f t="shared" si="17"/>
        <v>138502.09100000001</v>
      </c>
      <c r="H93" s="17">
        <f t="shared" si="17"/>
        <v>405980</v>
      </c>
      <c r="I93" s="17">
        <f t="shared" si="17"/>
        <v>1118635.9650000003</v>
      </c>
      <c r="J93" s="17">
        <f t="shared" si="17"/>
        <v>0</v>
      </c>
      <c r="K93" s="17">
        <f t="shared" si="17"/>
        <v>44405.55</v>
      </c>
      <c r="L93" s="17">
        <f t="shared" si="17"/>
        <v>0</v>
      </c>
      <c r="M93" s="17">
        <f t="shared" si="17"/>
        <v>4199724.0506177526</v>
      </c>
      <c r="N93" s="17">
        <f t="shared" si="17"/>
        <v>416406.65190315916</v>
      </c>
      <c r="O93" s="17">
        <f t="shared" si="17"/>
        <v>4616130.7025209116</v>
      </c>
      <c r="Q93" s="21"/>
      <c r="R93" s="11"/>
      <c r="S93" s="11"/>
      <c r="T93" s="11"/>
    </row>
    <row r="94" spans="1:20" x14ac:dyDescent="0.2">
      <c r="I94" s="64">
        <f>-I79</f>
        <v>-68098.96875</v>
      </c>
      <c r="O94" s="28"/>
      <c r="Q94" s="21"/>
      <c r="R94" s="11"/>
      <c r="S94" s="11"/>
      <c r="T94" s="11"/>
    </row>
    <row r="95" spans="1:20" x14ac:dyDescent="0.2">
      <c r="I95" s="64">
        <f>-I85</f>
        <v>-84644.90625</v>
      </c>
      <c r="Q95" s="21"/>
      <c r="R95" s="11"/>
      <c r="S95" s="11"/>
      <c r="T95" s="11"/>
    </row>
    <row r="96" spans="1:20" x14ac:dyDescent="0.2">
      <c r="Q96" s="21"/>
      <c r="R96" s="11"/>
      <c r="S96" s="11"/>
      <c r="T96" s="11"/>
    </row>
    <row r="97" spans="9:20" x14ac:dyDescent="0.2">
      <c r="Q97" s="21"/>
      <c r="R97" s="11"/>
      <c r="S97" s="11"/>
      <c r="T97" s="11"/>
    </row>
    <row r="98" spans="9:20" x14ac:dyDescent="0.2">
      <c r="Q98" s="21"/>
      <c r="R98" s="11"/>
      <c r="S98" s="11"/>
      <c r="T98" s="11"/>
    </row>
    <row r="99" spans="9:20" x14ac:dyDescent="0.2">
      <c r="I99" s="15">
        <f>233684+35368+155280+1157728+2463975+965892</f>
        <v>5011927</v>
      </c>
      <c r="Q99" s="21"/>
      <c r="R99" s="11"/>
      <c r="S99" s="11"/>
      <c r="T99" s="11"/>
    </row>
    <row r="100" spans="9:20" x14ac:dyDescent="0.2">
      <c r="Q100" s="21"/>
      <c r="R100" s="11"/>
      <c r="S100" s="11"/>
      <c r="T100" s="11"/>
    </row>
    <row r="101" spans="9:20" x14ac:dyDescent="0.2">
      <c r="Q101" s="21"/>
      <c r="R101" s="11"/>
      <c r="S101" s="11"/>
      <c r="T101" s="11"/>
    </row>
    <row r="102" spans="9:20" x14ac:dyDescent="0.2">
      <c r="Q102" s="21"/>
      <c r="R102" s="11"/>
      <c r="S102" s="11"/>
      <c r="T102" s="11"/>
    </row>
    <row r="103" spans="9:20" x14ac:dyDescent="0.2">
      <c r="Q103" s="21"/>
      <c r="R103" s="11"/>
      <c r="S103" s="11"/>
      <c r="T103" s="11"/>
    </row>
    <row r="104" spans="9:20" x14ac:dyDescent="0.2">
      <c r="Q104" s="21"/>
      <c r="R104" s="11"/>
      <c r="S104" s="11"/>
      <c r="T104" s="11"/>
    </row>
    <row r="105" spans="9:20" x14ac:dyDescent="0.2">
      <c r="Q105" s="21"/>
      <c r="R105" s="11"/>
      <c r="S105" s="11"/>
      <c r="T105" s="11"/>
    </row>
    <row r="130" spans="6:6" x14ac:dyDescent="0.2">
      <c r="F130" s="2">
        <f>SUM(F121:F129)</f>
        <v>0</v>
      </c>
    </row>
  </sheetData>
  <customSheetViews>
    <customSheetView guid="{6DF61089-79B2-41AA-A0E5-3D263EEF5CE4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DF69299D-7752-4436-A45D-28F739CEE21B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4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tabSelected="1" topLeftCell="A41" zoomScaleSheetLayoutView="100" workbookViewId="0">
      <selection activeCell="C1" sqref="C1:S1048576"/>
    </sheetView>
  </sheetViews>
  <sheetFormatPr defaultColWidth="9.140625" defaultRowHeight="15.75" x14ac:dyDescent="0.2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 x14ac:dyDescent="0.25">
      <c r="A1" s="412" t="s">
        <v>1506</v>
      </c>
      <c r="C1" s="481"/>
    </row>
    <row r="2" spans="1:21" ht="16.5" thickBot="1" x14ac:dyDescent="0.3">
      <c r="G2" s="483"/>
    </row>
    <row r="3" spans="1:21" hidden="1" x14ac:dyDescent="0.25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1500</v>
      </c>
    </row>
    <row r="4" spans="1:21" ht="14.25" hidden="1" customHeight="1" x14ac:dyDescent="0.25">
      <c r="A4" s="418"/>
      <c r="B4" s="419"/>
      <c r="C4" s="486">
        <f>+mayor!Q11</f>
        <v>4.7526257002553773</v>
      </c>
      <c r="D4" s="486">
        <f>+mayor!Q18</f>
        <v>10.639285488062935</v>
      </c>
      <c r="E4" s="486">
        <f>+mayor!Q24</f>
        <v>3.6743324827627517</v>
      </c>
      <c r="F4" s="486">
        <f>+mayor!Q30</f>
        <v>11.903973798672325</v>
      </c>
      <c r="G4" s="487">
        <f>+mayor!Q36</f>
        <v>6.1921140716550598</v>
      </c>
    </row>
    <row r="5" spans="1:21" s="424" customFormat="1" hidden="1" x14ac:dyDescent="0.25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2507442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 x14ac:dyDescent="0.25">
      <c r="A6" s="425"/>
      <c r="B6" s="426">
        <f>+C6+D6+E6+F6+G6</f>
        <v>1171132.5734454987</v>
      </c>
      <c r="C6" s="492">
        <f>+C8+C10</f>
        <v>208526.20522440493</v>
      </c>
      <c r="D6" s="492">
        <f>+D8+D10</f>
        <v>234064.28073738457</v>
      </c>
      <c r="E6" s="492">
        <f t="shared" si="0"/>
        <v>119695.05495847941</v>
      </c>
      <c r="F6" s="492">
        <f t="shared" si="0"/>
        <v>373546.69780233759</v>
      </c>
      <c r="G6" s="493">
        <f t="shared" si="0"/>
        <v>235300.33472289226</v>
      </c>
      <c r="H6" s="493"/>
    </row>
    <row r="7" spans="1:21" s="428" customFormat="1" ht="16.5" hidden="1" thickBot="1" x14ac:dyDescent="0.3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 x14ac:dyDescent="0.25">
      <c r="A8" s="448" t="s">
        <v>114</v>
      </c>
      <c r="B8" s="449">
        <f t="shared" si="1"/>
        <v>225537.49427641393</v>
      </c>
      <c r="C8" s="496">
        <f>+C7*C4</f>
        <v>97866.068419658724</v>
      </c>
      <c r="D8" s="497">
        <f t="shared" ref="D8:F8" si="2">+D7*D4</f>
        <v>127671.42585675522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 x14ac:dyDescent="0.25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 x14ac:dyDescent="0.25">
      <c r="A10" s="450" t="s">
        <v>115</v>
      </c>
      <c r="B10" s="452">
        <f t="shared" si="1"/>
        <v>217052.99168537557</v>
      </c>
      <c r="C10" s="496">
        <f>+C9*C4</f>
        <v>110660.1368047462</v>
      </c>
      <c r="D10" s="497">
        <f t="shared" ref="D10:F10" si="3">+D9*D4</f>
        <v>106392.85488062935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 x14ac:dyDescent="0.25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 x14ac:dyDescent="0.25">
      <c r="A12" s="450" t="s">
        <v>243</v>
      </c>
      <c r="B12" s="451">
        <f>+C12+D12+E12+F12+G12</f>
        <v>728542.08748370921</v>
      </c>
      <c r="C12" s="496"/>
      <c r="D12" s="497"/>
      <c r="E12" s="497">
        <f>+E11*E4</f>
        <v>119695.05495847941</v>
      </c>
      <c r="F12" s="497">
        <f>+F11*F4</f>
        <v>373546.69780233759</v>
      </c>
      <c r="G12" s="497">
        <f>+G11*G4</f>
        <v>235300.33472289226</v>
      </c>
      <c r="H12" s="495"/>
      <c r="I12" s="531">
        <f>B8+B10+B12</f>
        <v>1171132.5734454987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 x14ac:dyDescent="0.25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 x14ac:dyDescent="0.25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 x14ac:dyDescent="0.25">
      <c r="A15" s="450"/>
      <c r="B15" s="452"/>
      <c r="C15" s="496">
        <f>+income!Q12</f>
        <v>3.6550315329679361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 x14ac:dyDescent="0.25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 x14ac:dyDescent="0.25">
      <c r="A17" s="450" t="s">
        <v>241</v>
      </c>
      <c r="B17" s="452">
        <f>+C17</f>
        <v>219301.89197807616</v>
      </c>
      <c r="C17" s="496">
        <f>+$C$15*$C$16</f>
        <v>219301.89197807616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 x14ac:dyDescent="0.25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 x14ac:dyDescent="0.25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 x14ac:dyDescent="0.25">
      <c r="A20" s="450"/>
      <c r="B20" s="452"/>
      <c r="C20" s="496">
        <f>+workshop!Q11</f>
        <v>10.607259457690626</v>
      </c>
      <c r="D20" s="497">
        <f>+workshop!Q16</f>
        <v>9.6760775210428314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 x14ac:dyDescent="0.25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 x14ac:dyDescent="0.25">
      <c r="A22" s="450" t="s">
        <v>67</v>
      </c>
      <c r="B22" s="452">
        <f>+C22+D22</f>
        <v>216622.80708233238</v>
      </c>
      <c r="C22" s="496">
        <f>+C21*C20</f>
        <v>119862.03187190407</v>
      </c>
      <c r="D22" s="497">
        <f>+D21*D20</f>
        <v>96760.775210428314</v>
      </c>
      <c r="E22" s="495"/>
      <c r="F22" s="495"/>
      <c r="G22" s="495"/>
      <c r="H22" s="495"/>
      <c r="I22" s="531">
        <f>B22+B24</f>
        <v>322695.40165923862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 x14ac:dyDescent="0.25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 x14ac:dyDescent="0.25">
      <c r="A24" s="450" t="s">
        <v>1490</v>
      </c>
      <c r="B24" s="452">
        <f>+C24+D24</f>
        <v>106072.59457690625</v>
      </c>
      <c r="C24" s="496">
        <f>+C23*C20</f>
        <v>106072.59457690625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 x14ac:dyDescent="0.25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 x14ac:dyDescent="0.25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 x14ac:dyDescent="0.25">
      <c r="A27" s="457"/>
      <c r="B27" s="452"/>
      <c r="C27" s="496">
        <f>+'COMMUNITY SERV'!Q9</f>
        <v>5.1664931850406486</v>
      </c>
      <c r="D27" s="497">
        <f>+'COMMUNITY SERV'!Q16</f>
        <v>6.1035835873078392</v>
      </c>
      <c r="E27" s="497">
        <f>+'COMMUNITY SERV'!Q23</f>
        <v>15.322892061288972</v>
      </c>
      <c r="F27" s="497">
        <f>+'COMMUNITY SERV'!Q29</f>
        <v>14.880923611086873</v>
      </c>
      <c r="G27" s="497">
        <f>+'COMMUNITY SERV'!Q40</f>
        <v>116.34558622101058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 x14ac:dyDescent="0.25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 x14ac:dyDescent="0.25">
      <c r="A29" s="457" t="s">
        <v>68</v>
      </c>
      <c r="B29" s="451">
        <f>+'COMMUNITY SERV'!O51+'COMMUNITY SERV'!O61</f>
        <v>1168478.6745430457</v>
      </c>
      <c r="C29" s="496">
        <f>+C28*C27</f>
        <v>103329.86370081297</v>
      </c>
      <c r="D29" s="497">
        <f>+D28*D27</f>
        <v>213625.42555577436</v>
      </c>
      <c r="E29" s="497">
        <f>+E28*E27</f>
        <v>383072.30153222429</v>
      </c>
      <c r="F29" s="497">
        <f>+F28*F27</f>
        <v>223213.85416630309</v>
      </c>
      <c r="G29" s="497">
        <f>+G28*G27</f>
        <v>209422.05519781905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 x14ac:dyDescent="0.25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 x14ac:dyDescent="0.25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 x14ac:dyDescent="0.25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 x14ac:dyDescent="0.25">
      <c r="A33" s="457"/>
      <c r="B33" s="452"/>
      <c r="C33" s="496">
        <f>+'COMMUNITY SERV'!Q74</f>
        <v>8.8237857778978448</v>
      </c>
      <c r="D33" s="497"/>
      <c r="E33" s="497">
        <f>+'COMMUNITY SERV'!Q85</f>
        <v>4.4078468475259616</v>
      </c>
      <c r="F33" s="497"/>
      <c r="G33" s="497"/>
      <c r="H33" s="497">
        <f>+'COMMUNITY SERV'!Q92</f>
        <v>11.948427671169416</v>
      </c>
      <c r="I33" s="497">
        <f>+'COMMUNITY SERV'!Q98</f>
        <v>28.772118433773819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 x14ac:dyDescent="0.25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 x14ac:dyDescent="0.25">
      <c r="A35" s="450" t="s">
        <v>74</v>
      </c>
      <c r="B35" s="451">
        <f>+'COMMUNITY SERV'!O100</f>
        <v>5886872.630849503</v>
      </c>
      <c r="C35" s="498">
        <f>+C34*C33</f>
        <v>2735373.5911483318</v>
      </c>
      <c r="D35" s="499"/>
      <c r="E35" s="499">
        <f>+E34*E33</f>
        <v>782833.60012061079</v>
      </c>
      <c r="F35" s="499"/>
      <c r="G35" s="499"/>
      <c r="H35" s="499">
        <f>+H34*H33</f>
        <v>1505501.8865673463</v>
      </c>
      <c r="I35" s="499">
        <f>+I34*I33</f>
        <v>863163.55301321461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 x14ac:dyDescent="0.25">
      <c r="A36" s="459" t="s">
        <v>505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 x14ac:dyDescent="0.25">
      <c r="A37" s="457" t="s">
        <v>71</v>
      </c>
      <c r="B37" s="451">
        <f t="shared" si="4"/>
        <v>3532123.5785097023</v>
      </c>
      <c r="C37" s="509">
        <f t="shared" ref="C37:I37" si="6">+C35*60%</f>
        <v>1641224.1546889991</v>
      </c>
      <c r="D37" s="510"/>
      <c r="E37" s="510">
        <f t="shared" si="6"/>
        <v>469700.16007236647</v>
      </c>
      <c r="F37" s="510"/>
      <c r="G37" s="510"/>
      <c r="H37" s="510">
        <f t="shared" si="6"/>
        <v>903301.13194040779</v>
      </c>
      <c r="I37" s="510">
        <f t="shared" si="6"/>
        <v>517898.13180792873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 x14ac:dyDescent="0.25">
      <c r="A38" s="459" t="s">
        <v>76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 x14ac:dyDescent="0.25">
      <c r="A39" s="457" t="s">
        <v>69</v>
      </c>
      <c r="B39" s="451">
        <f t="shared" si="4"/>
        <v>1766061.7892548512</v>
      </c>
      <c r="C39" s="496">
        <f>+C35*30%</f>
        <v>820612.07734449953</v>
      </c>
      <c r="D39" s="497"/>
      <c r="E39" s="497">
        <f>+E35*30%</f>
        <v>234850.08003618324</v>
      </c>
      <c r="F39" s="497"/>
      <c r="G39" s="497"/>
      <c r="H39" s="497">
        <f>+H35*30%</f>
        <v>451650.5659702039</v>
      </c>
      <c r="I39" s="497">
        <f>+I35*30%</f>
        <v>258949.06590396437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 x14ac:dyDescent="0.25">
      <c r="A40" s="460" t="s">
        <v>506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 x14ac:dyDescent="0.25">
      <c r="A41" s="457" t="s">
        <v>70</v>
      </c>
      <c r="B41" s="451">
        <f t="shared" si="4"/>
        <v>588687.26308495039</v>
      </c>
      <c r="C41" s="496">
        <f>+C35*10%</f>
        <v>273537.35911483318</v>
      </c>
      <c r="D41" s="497"/>
      <c r="E41" s="497">
        <f>+E35*10%</f>
        <v>78283.360012061079</v>
      </c>
      <c r="F41" s="497"/>
      <c r="G41" s="497"/>
      <c r="H41" s="497">
        <f>+H35*10%</f>
        <v>150550.18865673462</v>
      </c>
      <c r="I41" s="497">
        <f>+I35*10%</f>
        <v>86316.35530132147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 x14ac:dyDescent="0.25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 x14ac:dyDescent="0.25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+EEM!B45</f>
        <v>V0124</v>
      </c>
      <c r="G43" s="501" t="str">
        <f>+EEM!B52</f>
        <v>V0125</v>
      </c>
      <c r="H43" s="501"/>
      <c r="I43" s="501" t="str">
        <f>+EEM!B59</f>
        <v>V0170</v>
      </c>
      <c r="J43" s="501" t="str">
        <f>+EEM!B66</f>
        <v>V0171</v>
      </c>
      <c r="K43" s="501"/>
      <c r="L43" s="501" t="str">
        <f>+EEM!B73</f>
        <v>V0172</v>
      </c>
      <c r="M43" s="495"/>
      <c r="N43" s="495"/>
      <c r="O43" s="495"/>
      <c r="P43" s="495"/>
    </row>
    <row r="44" spans="1:21" s="431" customFormat="1" hidden="1" x14ac:dyDescent="0.25">
      <c r="A44" s="457"/>
      <c r="B44" s="452"/>
      <c r="C44" s="496">
        <f>+EEM!Q9</f>
        <v>6.1775884094972646</v>
      </c>
      <c r="D44" s="497">
        <f>+EEM!Q24</f>
        <v>15.615837117226862</v>
      </c>
      <c r="E44" s="497">
        <f>+EEM!Q43</f>
        <v>4.0426512915749981</v>
      </c>
      <c r="F44" s="497">
        <f>+EEM!Q49</f>
        <v>184.98820493948762</v>
      </c>
      <c r="G44" s="497">
        <f>+EEM!Q56</f>
        <v>291.33423519638006</v>
      </c>
      <c r="H44" s="497"/>
      <c r="I44" s="497">
        <f>+EEM!Q64</f>
        <v>27.632186504871413</v>
      </c>
      <c r="J44" s="497">
        <f>+EEM!Q71</f>
        <v>35.656952984025395</v>
      </c>
      <c r="K44" s="497"/>
      <c r="L44" s="497">
        <f>+EEM!Q77</f>
        <v>46.260372437150529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 x14ac:dyDescent="0.25">
      <c r="A45" s="457"/>
      <c r="B45" s="451">
        <f>+C45+D45+E45+F45+G45+H45+I45+J45+K45+L45</f>
        <v>688400</v>
      </c>
      <c r="C45" s="511">
        <f>+EEM!D9</f>
        <v>15000</v>
      </c>
      <c r="D45" s="512">
        <f>+EEM!D24</f>
        <v>138000</v>
      </c>
      <c r="E45" s="512">
        <f>+EEM!D43</f>
        <v>493000</v>
      </c>
      <c r="F45" s="512">
        <f>+EEM!D49</f>
        <v>100</v>
      </c>
      <c r="G45" s="512">
        <f>+EEM!D56</f>
        <v>300</v>
      </c>
      <c r="H45" s="512"/>
      <c r="I45" s="512">
        <f>+EEM!D64</f>
        <v>16000</v>
      </c>
      <c r="J45" s="512">
        <f>+EEM!D71</f>
        <v>16000</v>
      </c>
      <c r="K45" s="512"/>
      <c r="L45" s="512">
        <f>+EEM!D75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 x14ac:dyDescent="0.25">
      <c r="A46" s="450" t="s">
        <v>74</v>
      </c>
      <c r="B46" s="452">
        <f>+EEM!O92</f>
        <v>5870509.6305510076</v>
      </c>
      <c r="C46" s="496">
        <f>+C44*C45</f>
        <v>92663.826142458973</v>
      </c>
      <c r="D46" s="497">
        <f t="shared" ref="D46:L46" si="7">+D44*D45</f>
        <v>2154985.5221773069</v>
      </c>
      <c r="E46" s="497">
        <f t="shared" si="7"/>
        <v>1993027.086746474</v>
      </c>
      <c r="F46" s="497">
        <f t="shared" si="7"/>
        <v>18498.820493948762</v>
      </c>
      <c r="G46" s="497">
        <f t="shared" si="7"/>
        <v>87400.270558914024</v>
      </c>
      <c r="H46" s="497"/>
      <c r="I46" s="497">
        <f t="shared" si="7"/>
        <v>442114.98407794262</v>
      </c>
      <c r="J46" s="497">
        <f t="shared" si="7"/>
        <v>570511.24774440634</v>
      </c>
      <c r="K46" s="497"/>
      <c r="L46" s="497">
        <f t="shared" si="7"/>
        <v>462603.72437150532</v>
      </c>
      <c r="M46" s="495"/>
      <c r="N46" s="495"/>
      <c r="O46" s="504"/>
      <c r="P46" s="495"/>
    </row>
    <row r="47" spans="1:21" s="437" customFormat="1" hidden="1" x14ac:dyDescent="0.25">
      <c r="A47" s="461" t="s">
        <v>75</v>
      </c>
      <c r="B47" s="451">
        <f>+B45*70%</f>
        <v>481879.99999999994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345100</v>
      </c>
      <c r="F47" s="516">
        <f t="shared" si="8"/>
        <v>70</v>
      </c>
      <c r="G47" s="516">
        <f t="shared" si="8"/>
        <v>210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 x14ac:dyDescent="0.25">
      <c r="A48" s="450" t="s">
        <v>72</v>
      </c>
      <c r="B48" s="452">
        <f>SUM(C48:L48)</f>
        <v>4075263.83761907</v>
      </c>
      <c r="C48" s="515">
        <f t="shared" si="8"/>
        <v>64864.678299721279</v>
      </c>
      <c r="D48" s="516">
        <f t="shared" si="8"/>
        <v>1508489.8655241148</v>
      </c>
      <c r="E48" s="516">
        <f t="shared" si="8"/>
        <v>1395118.9607225317</v>
      </c>
      <c r="F48" s="516">
        <f t="shared" si="8"/>
        <v>12949.174345764133</v>
      </c>
      <c r="G48" s="516">
        <f t="shared" si="8"/>
        <v>61180.189391239815</v>
      </c>
      <c r="H48" s="516"/>
      <c r="I48" s="516">
        <f t="shared" si="8"/>
        <v>309480.48885455984</v>
      </c>
      <c r="J48" s="516">
        <f t="shared" si="8"/>
        <v>399357.87342108443</v>
      </c>
      <c r="K48" s="516"/>
      <c r="L48" s="516">
        <f>+L46*70%</f>
        <v>323822.60706005368</v>
      </c>
      <c r="M48" s="495"/>
      <c r="N48" s="495"/>
      <c r="O48" s="513"/>
      <c r="P48" s="513"/>
      <c r="Q48" s="514"/>
    </row>
    <row r="49" spans="1:21" s="437" customFormat="1" hidden="1" x14ac:dyDescent="0.25">
      <c r="A49" s="461" t="s">
        <v>76</v>
      </c>
      <c r="B49" s="451">
        <f>+B45*30%</f>
        <v>206520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147900</v>
      </c>
      <c r="F49" s="516">
        <f t="shared" si="9"/>
        <v>30</v>
      </c>
      <c r="G49" s="516">
        <f t="shared" si="9"/>
        <v>90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 x14ac:dyDescent="0.25">
      <c r="A50" s="450" t="s">
        <v>73</v>
      </c>
      <c r="B50" s="452">
        <f>SUM(C50:L50)</f>
        <v>1746541.6446938869</v>
      </c>
      <c r="C50" s="515">
        <f t="shared" si="9"/>
        <v>27799.14784273769</v>
      </c>
      <c r="D50" s="516">
        <f t="shared" si="9"/>
        <v>646495.65665319201</v>
      </c>
      <c r="E50" s="516">
        <f t="shared" si="9"/>
        <v>597908.12602394214</v>
      </c>
      <c r="F50" s="516">
        <f t="shared" si="9"/>
        <v>5549.6461481846281</v>
      </c>
      <c r="G50" s="516">
        <f t="shared" si="9"/>
        <v>26220.081167674205</v>
      </c>
      <c r="H50" s="516"/>
      <c r="I50" s="516">
        <f t="shared" si="9"/>
        <v>132634.49522338278</v>
      </c>
      <c r="J50" s="516">
        <f t="shared" si="9"/>
        <v>171153.37432332188</v>
      </c>
      <c r="K50" s="516"/>
      <c r="L50" s="516">
        <f>+L46*30%</f>
        <v>138781.11731145158</v>
      </c>
      <c r="M50" s="495"/>
      <c r="N50" s="495"/>
      <c r="O50" s="495"/>
      <c r="P50" s="495"/>
    </row>
    <row r="51" spans="1:21" hidden="1" x14ac:dyDescent="0.25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 x14ac:dyDescent="0.25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 x14ac:dyDescent="0.25">
      <c r="A53" s="457"/>
      <c r="B53" s="452"/>
      <c r="C53" s="496">
        <f>+CEM!Q16</f>
        <v>3.8431794373715014</v>
      </c>
      <c r="D53" s="497">
        <f>+CEM!Q23</f>
        <v>6.2517597541746266</v>
      </c>
      <c r="E53" s="497">
        <f>+CEM!Q31</f>
        <v>18.169136459535817</v>
      </c>
      <c r="F53" s="497">
        <f>+CEM!Q36</f>
        <v>27.174809864735725</v>
      </c>
      <c r="G53" s="497">
        <f>+CEM!Q41</f>
        <v>21.603548022701499</v>
      </c>
      <c r="H53" s="497">
        <f>+CEM!Q48</f>
        <v>23.121507664213979</v>
      </c>
      <c r="I53" s="497">
        <f>+CEM!Q55</f>
        <v>577.24082066656172</v>
      </c>
      <c r="J53" s="497">
        <f>+CEM!Q61</f>
        <v>485.12092492468093</v>
      </c>
      <c r="K53" s="497">
        <f>+CEM!Q67</f>
        <v>512.59530220507406</v>
      </c>
      <c r="L53" s="497">
        <f>+CEM!Q73</f>
        <v>36.747324013158405</v>
      </c>
      <c r="M53" s="497">
        <f>+CEM!Q81</f>
        <v>21.055052120094064</v>
      </c>
      <c r="N53" s="497">
        <f>+CEM!Q101</f>
        <v>259.02117270666611</v>
      </c>
      <c r="O53" s="497">
        <f>+CEM!Q111</f>
        <v>198.54986762711917</v>
      </c>
      <c r="P53" s="507"/>
      <c r="Q53" s="493"/>
      <c r="R53" s="493"/>
      <c r="S53" s="493"/>
      <c r="T53" s="427"/>
      <c r="U53" s="427"/>
    </row>
    <row r="54" spans="1:21" s="433" customFormat="1" hidden="1" x14ac:dyDescent="0.25">
      <c r="A54" s="450"/>
      <c r="B54" s="451">
        <f>+C54+D54+E54+F54+G54+H54+I54+J54+K54+L54+M54+N54+O54</f>
        <v>309810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850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 x14ac:dyDescent="0.25">
      <c r="A55" s="450" t="s">
        <v>77</v>
      </c>
      <c r="B55" s="452">
        <f>+CEM!O123</f>
        <v>8044646.9170438815</v>
      </c>
      <c r="C55" s="496">
        <f t="shared" ref="C55:H55" si="10">+C53*C54</f>
        <v>436969.50202913972</v>
      </c>
      <c r="D55" s="497">
        <f t="shared" si="10"/>
        <v>250070.39016698507</v>
      </c>
      <c r="E55" s="497">
        <f t="shared" si="10"/>
        <v>599581.50316468196</v>
      </c>
      <c r="F55" s="497">
        <f t="shared" si="10"/>
        <v>271748.09864735726</v>
      </c>
      <c r="G55" s="497">
        <f t="shared" si="10"/>
        <v>432070.96045402996</v>
      </c>
      <c r="H55" s="497">
        <f t="shared" si="10"/>
        <v>693645.22992641933</v>
      </c>
      <c r="I55" s="497">
        <f>I54*I53</f>
        <v>1731722.461999685</v>
      </c>
      <c r="J55" s="497">
        <f t="shared" ref="J55:O55" si="11">+J53*J54</f>
        <v>970241.84984936193</v>
      </c>
      <c r="K55" s="497">
        <f t="shared" si="11"/>
        <v>1025190.6044101481</v>
      </c>
      <c r="L55" s="497">
        <f t="shared" si="11"/>
        <v>551209.86019737611</v>
      </c>
      <c r="M55" s="497">
        <f t="shared" si="11"/>
        <v>842202.08480376261</v>
      </c>
      <c r="N55" s="497">
        <f t="shared" si="11"/>
        <v>220167.99680066618</v>
      </c>
      <c r="O55" s="497">
        <f t="shared" si="11"/>
        <v>51622.965583050987</v>
      </c>
      <c r="P55" s="495"/>
      <c r="Q55" s="493"/>
      <c r="R55" s="493"/>
      <c r="S55" s="493"/>
      <c r="T55" s="427"/>
      <c r="U55" s="427"/>
    </row>
    <row r="56" spans="1:21" hidden="1" x14ac:dyDescent="0.25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 x14ac:dyDescent="0.25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 x14ac:dyDescent="0.25">
      <c r="A58" s="450"/>
      <c r="B58" s="452"/>
      <c r="C58" s="496">
        <f>+CEM!Q128</f>
        <v>111.68472857500157</v>
      </c>
      <c r="D58" s="497">
        <f>+CEM!Q9</f>
        <v>4.7429364015725968</v>
      </c>
      <c r="E58" s="497">
        <f>+CEM!Q23</f>
        <v>6.2517597541746266</v>
      </c>
      <c r="F58" s="497">
        <f>+CEM!Q31</f>
        <v>18.169136459535817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 x14ac:dyDescent="0.25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 x14ac:dyDescent="0.25">
      <c r="A60" s="450" t="s">
        <v>78</v>
      </c>
      <c r="B60" s="452">
        <f>+CEM!O130</f>
        <v>503699.33265376143</v>
      </c>
      <c r="C60" s="496">
        <f>+C59*C58</f>
        <v>11168.472857500157</v>
      </c>
      <c r="D60" s="497">
        <f>+D59*D58</f>
        <v>237146.82007862983</v>
      </c>
      <c r="E60" s="497">
        <f>+E59*E58</f>
        <v>62517.597541746269</v>
      </c>
      <c r="F60" s="497">
        <f>+F59*F58</f>
        <v>145353.09167628654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 x14ac:dyDescent="0.25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 x14ac:dyDescent="0.25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 x14ac:dyDescent="0.25">
      <c r="A63" s="462"/>
      <c r="B63" s="463"/>
      <c r="C63" s="496">
        <f>+MDC!Q18</f>
        <v>5.0718327171018149</v>
      </c>
      <c r="D63" s="497">
        <f>+MDC!Q25</f>
        <v>6.652619358074368</v>
      </c>
      <c r="E63" s="497">
        <f>+MDC!Q30</f>
        <v>15.107720420761344</v>
      </c>
      <c r="F63" s="497">
        <f>+MDC!Q35</f>
        <v>22.329921861943937</v>
      </c>
      <c r="G63" s="497">
        <f>+MDC!Q40</f>
        <v>18.974819518930502</v>
      </c>
      <c r="H63" s="497">
        <f>+MDC!Q45</f>
        <v>17.610065754689145</v>
      </c>
      <c r="I63" s="497">
        <f>+MDC!Q52</f>
        <v>252.95996699103503</v>
      </c>
      <c r="J63" s="497">
        <f>+MDC!Q58</f>
        <v>56.338194101803332</v>
      </c>
      <c r="K63" s="497">
        <f>+MDC!Q64</f>
        <v>18.986601704922233</v>
      </c>
      <c r="L63" s="497">
        <f>+MDC!Q79</f>
        <v>9.5128050898871752</v>
      </c>
      <c r="M63" s="497">
        <f>+MDC!Q85</f>
        <v>22.285229059621745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 x14ac:dyDescent="0.25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 x14ac:dyDescent="0.25">
      <c r="A65" s="464" t="s">
        <v>82</v>
      </c>
      <c r="B65" s="465">
        <f>+C65+D65+E65+F65+G65+H65+I65+J65+K65+L65+M65</f>
        <v>4616130.7025209116</v>
      </c>
      <c r="C65" s="526">
        <f>+C67+C69+C71</f>
        <v>1095515.8668939921</v>
      </c>
      <c r="D65" s="527">
        <f t="shared" ref="D65:K65" si="13">+D67+D69+D71</f>
        <v>299367.87111334654</v>
      </c>
      <c r="E65" s="527">
        <f t="shared" si="13"/>
        <v>226615.80631142017</v>
      </c>
      <c r="F65" s="527">
        <f t="shared" si="13"/>
        <v>334948.82792915904</v>
      </c>
      <c r="G65" s="527">
        <f t="shared" si="13"/>
        <v>474370.48797326256</v>
      </c>
      <c r="H65" s="527">
        <f t="shared" si="13"/>
        <v>616352.30141412013</v>
      </c>
      <c r="I65" s="527">
        <f t="shared" si="13"/>
        <v>75887.99009731051</v>
      </c>
      <c r="J65" s="527">
        <f t="shared" si="13"/>
        <v>16901.458230541</v>
      </c>
      <c r="K65" s="527">
        <f t="shared" si="13"/>
        <v>474665.04262305581</v>
      </c>
      <c r="L65" s="527">
        <f>+L67+L69+L71</f>
        <v>332948.17814605113</v>
      </c>
      <c r="M65" s="527">
        <f>+M67+M69+M71</f>
        <v>668556.87178865238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 x14ac:dyDescent="0.25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 x14ac:dyDescent="0.25">
      <c r="A67" s="450" t="s">
        <v>79</v>
      </c>
      <c r="B67" s="452">
        <f t="shared" si="14"/>
        <v>3345589.2990660965</v>
      </c>
      <c r="C67" s="496">
        <f>+C66*C63</f>
        <v>649194.58778903226</v>
      </c>
      <c r="D67" s="497">
        <f>+D66*D63</f>
        <v>299367.87111334654</v>
      </c>
      <c r="E67" s="497">
        <f>+E66*E63</f>
        <v>226615.80631142017</v>
      </c>
      <c r="F67" s="497">
        <f>+F66*F63</f>
        <v>334948.82792915904</v>
      </c>
      <c r="G67" s="497"/>
      <c r="H67" s="497">
        <f>+H66*H63</f>
        <v>616352.30141412013</v>
      </c>
      <c r="I67" s="497">
        <f>+I66*I63</f>
        <v>75887.99009731051</v>
      </c>
      <c r="J67" s="497"/>
      <c r="K67" s="497">
        <f>+K66*K63</f>
        <v>474665.04262305581</v>
      </c>
      <c r="L67" s="497">
        <f>+L66*L63</f>
        <v>0</v>
      </c>
      <c r="M67" s="497">
        <f>+M66*M63</f>
        <v>668556.87178865238</v>
      </c>
      <c r="N67" s="495"/>
      <c r="O67" s="495"/>
      <c r="P67" s="495"/>
    </row>
    <row r="68" spans="1:47" s="433" customFormat="1" hidden="1" x14ac:dyDescent="0.25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 x14ac:dyDescent="0.25">
      <c r="A69" s="450" t="s">
        <v>80</v>
      </c>
      <c r="B69" s="452">
        <f>+C69+D69+E69+F69+G69+H69+I69+J69+K69+L69+M69</f>
        <v>304309.96302610892</v>
      </c>
      <c r="C69" s="496">
        <f>+C68*C63</f>
        <v>304309.96302610892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 x14ac:dyDescent="0.25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 x14ac:dyDescent="0.3">
      <c r="A71" s="466" t="s">
        <v>81</v>
      </c>
      <c r="B71" s="467">
        <f t="shared" si="14"/>
        <v>966231.44042870542</v>
      </c>
      <c r="C71" s="496">
        <f>+C70*C63</f>
        <v>142011.31607885082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474370.48797326256</v>
      </c>
      <c r="H71" s="497">
        <f t="shared" si="16"/>
        <v>0</v>
      </c>
      <c r="I71" s="497">
        <f t="shared" si="16"/>
        <v>0</v>
      </c>
      <c r="J71" s="497">
        <f t="shared" si="16"/>
        <v>16901.458230541</v>
      </c>
      <c r="K71" s="497">
        <f t="shared" si="16"/>
        <v>0</v>
      </c>
      <c r="L71" s="497">
        <f t="shared" si="16"/>
        <v>332948.17814605113</v>
      </c>
      <c r="M71" s="497">
        <f t="shared" si="16"/>
        <v>0</v>
      </c>
      <c r="N71" s="495"/>
      <c r="O71" s="495"/>
      <c r="P71" s="495"/>
    </row>
    <row r="72" spans="1:47" s="428" customFormat="1" ht="16.5" thickBot="1" x14ac:dyDescent="0.3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 x14ac:dyDescent="0.25">
      <c r="A73" s="468" t="s">
        <v>83</v>
      </c>
      <c r="B73" s="469">
        <f>+B6+B17+B22+B24+B29+B35+B46+B55+B60</f>
        <v>23187337.052724011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83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 x14ac:dyDescent="0.25">
      <c r="A74" s="470" t="s">
        <v>84</v>
      </c>
      <c r="B74" s="471">
        <f>+B65</f>
        <v>4616130.7025209116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4616130.7025209116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84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 x14ac:dyDescent="0.25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 x14ac:dyDescent="0.3">
      <c r="A76" s="472" t="s">
        <v>85</v>
      </c>
      <c r="B76" s="473">
        <f>SUM(B73:B75)</f>
        <v>27803467.755244922</v>
      </c>
      <c r="C76" s="507">
        <v>26176165</v>
      </c>
      <c r="D76" s="495"/>
      <c r="E76" s="531"/>
      <c r="F76" s="495">
        <f>CEM!O145</f>
        <v>27713467.755244922</v>
      </c>
      <c r="G76" s="531">
        <f>B76-F76</f>
        <v>90000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1390173.3877622462</v>
      </c>
      <c r="X76" s="413" t="s">
        <v>85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27713467.755244922</v>
      </c>
      <c r="AQ76" s="413">
        <v>1186266.5451</v>
      </c>
      <c r="AS76" s="413">
        <v>1497629.8138968898</v>
      </c>
      <c r="AU76" s="413">
        <v>31749752.054614067</v>
      </c>
    </row>
    <row r="77" spans="1:47" x14ac:dyDescent="0.25">
      <c r="A77" s="445"/>
      <c r="B77" s="540">
        <f>+B76</f>
        <v>27803467.755244922</v>
      </c>
      <c r="C77" s="507">
        <f>+C76-B76</f>
        <v>-1627302.7552449219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4036284.2993691452</v>
      </c>
      <c r="AQ77" s="413">
        <v>27547745.325100001</v>
      </c>
      <c r="AS77" s="413">
        <v>27484973.77</v>
      </c>
    </row>
    <row r="78" spans="1:47" x14ac:dyDescent="0.25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 x14ac:dyDescent="0.25">
      <c r="B79" s="431">
        <f>+B78-B77</f>
        <v>-318493.98524492234</v>
      </c>
      <c r="T79" s="427">
        <f>+T77-B76</f>
        <v>-255722.43014492095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 x14ac:dyDescent="0.25">
      <c r="B80" s="431"/>
    </row>
  </sheetData>
  <customSheetViews>
    <customSheetView guid="{6DF61089-79B2-41AA-A0E5-3D263EEF5CE4}" hiddenRows="1" hiddenColumns="1" topLeftCell="A41">
      <selection activeCell="C1" sqref="C1:S1048576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Rows="1" hiddenColumns="1">
      <selection activeCell="C1" sqref="C1:S1048576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A5" sqref="A5"/>
    </sheetView>
  </sheetViews>
  <sheetFormatPr defaultColWidth="9.140625" defaultRowHeight="11.25" x14ac:dyDescent="0.2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 x14ac:dyDescent="0.2">
      <c r="A1" s="1" t="s">
        <v>1496</v>
      </c>
    </row>
    <row r="2" spans="1:6" x14ac:dyDescent="0.2">
      <c r="A2" s="59">
        <v>0.06</v>
      </c>
    </row>
    <row r="3" spans="1:6" x14ac:dyDescent="0.2">
      <c r="A3" s="59"/>
    </row>
    <row r="4" spans="1:6" x14ac:dyDescent="0.2">
      <c r="A4" s="15">
        <v>15</v>
      </c>
    </row>
    <row r="6" spans="1:6" x14ac:dyDescent="0.2">
      <c r="A6" s="15">
        <v>2500000</v>
      </c>
      <c r="B6" s="15">
        <v>692568.67</v>
      </c>
    </row>
    <row r="8" spans="1:6" x14ac:dyDescent="0.2">
      <c r="A8" s="60">
        <f>+CEM!M145</f>
        <v>25214078.782262422</v>
      </c>
      <c r="F8" s="15">
        <v>28863677.079358432</v>
      </c>
    </row>
    <row r="9" spans="1:6" x14ac:dyDescent="0.2">
      <c r="A9" s="65"/>
    </row>
    <row r="10" spans="1:6" x14ac:dyDescent="0.2">
      <c r="A10" s="65"/>
    </row>
    <row r="11" spans="1:6" x14ac:dyDescent="0.2">
      <c r="A11" s="65">
        <v>24467288.18</v>
      </c>
      <c r="B11" s="15">
        <v>4.4999999999999998E-2</v>
      </c>
    </row>
    <row r="12" spans="1:6" x14ac:dyDescent="0.2">
      <c r="A12" s="9"/>
    </row>
    <row r="13" spans="1:6" x14ac:dyDescent="0.2">
      <c r="A13" s="9"/>
    </row>
    <row r="18" spans="2:7" x14ac:dyDescent="0.2">
      <c r="C18" s="533">
        <v>0.05</v>
      </c>
    </row>
    <row r="19" spans="2:7" x14ac:dyDescent="0.2">
      <c r="B19" s="15">
        <v>738</v>
      </c>
      <c r="C19" s="15">
        <f>+B19*C18</f>
        <v>36.9</v>
      </c>
      <c r="D19" s="15">
        <f>+C19+B19</f>
        <v>774.9</v>
      </c>
    </row>
    <row r="20" spans="2:7" x14ac:dyDescent="0.2">
      <c r="B20" s="15">
        <v>738</v>
      </c>
    </row>
    <row r="24" spans="2:7" x14ac:dyDescent="0.2">
      <c r="G24" s="2">
        <v>3101</v>
      </c>
    </row>
    <row r="25" spans="2:7" x14ac:dyDescent="0.2">
      <c r="G25" s="2">
        <v>7.16</v>
      </c>
    </row>
    <row r="26" spans="2:7" x14ac:dyDescent="0.2">
      <c r="G26" s="2">
        <v>5.5</v>
      </c>
    </row>
    <row r="27" spans="2:7" x14ac:dyDescent="0.2">
      <c r="G27" s="2">
        <f>+G24/G25</f>
        <v>433.10055865921788</v>
      </c>
    </row>
    <row r="28" spans="2:7" x14ac:dyDescent="0.2">
      <c r="G28" s="2">
        <f>+G27*12.8</f>
        <v>5543.6871508379891</v>
      </c>
    </row>
  </sheetData>
  <customSheetViews>
    <customSheetView guid="{6DF61089-79B2-41AA-A0E5-3D263EEF5CE4}">
      <selection activeCell="A5" sqref="A5"/>
      <pageMargins left="0.75" right="0.75" top="1" bottom="1" header="0.5" footer="0.5"/>
      <pageSetup paperSize="9" orientation="portrait" r:id="rId1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DF69299D-7752-4436-A45D-28F739CEE21B}">
      <selection activeCell="A5" sqref="A5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 Biewenga</cp:lastModifiedBy>
  <cp:lastPrinted>2015-01-29T13:51:39Z</cp:lastPrinted>
  <dcterms:created xsi:type="dcterms:W3CDTF">2005-10-06T12:29:26Z</dcterms:created>
  <dcterms:modified xsi:type="dcterms:W3CDTF">2018-03-12T07:07:23Z</dcterms:modified>
</cp:coreProperties>
</file>